
<file path=[Content_Types].xml><?xml version="1.0" encoding="utf-8"?>
<Types xmlns="http://schemas.openxmlformats.org/package/2006/content-types">
  <Default Extension="xml" ContentType="application/xml"/>
  <Default Extension="jpeg" ContentType="image/jpe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drawings/drawing8.xml" ContentType="application/vnd.openxmlformats-officedocument.drawingml.chartshapes+xml"/>
  <Override PartName="/xl/charts/chart6.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ml.chartshapes+xml"/>
  <Override PartName="/xl/charts/chart8.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9.xml" ContentType="application/vnd.openxmlformats-officedocument.drawingml.chart+xml"/>
  <Override PartName="/xl/drawings/drawing14.xml" ContentType="application/vnd.openxmlformats-officedocument.drawingml.chartshapes+xml"/>
  <Override PartName="/xl/charts/chart10.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19.xml" ContentType="application/vnd.openxmlformats-officedocument.drawingml.chartshapes+xml"/>
  <Override PartName="/xl/charts/chart13.xml" ContentType="application/vnd.openxmlformats-officedocument.drawingml.chart+xml"/>
  <Override PartName="/xl/drawings/drawing20.xml" ContentType="application/vnd.openxmlformats-officedocument.drawingml.chartshapes+xml"/>
  <Override PartName="/xl/charts/chart14.xml" ContentType="application/vnd.openxmlformats-officedocument.drawingml.chart+xml"/>
  <Override PartName="/xl/drawings/drawing21.xml" ContentType="application/vnd.openxmlformats-officedocument.drawingml.chartshapes+xml"/>
  <Override PartName="/xl/charts/chart15.xml" ContentType="application/vnd.openxmlformats-officedocument.drawingml.chart+xml"/>
  <Override PartName="/xl/drawings/drawing22.xml" ContentType="application/vnd.openxmlformats-officedocument.drawingml.chartshapes+xml"/>
  <Override PartName="/xl/charts/chart16.xml" ContentType="application/vnd.openxmlformats-officedocument.drawingml.chart+xml"/>
  <Override PartName="/xl/drawings/drawing23.xml" ContentType="application/vnd.openxmlformats-officedocument.drawingml.chartshapes+xml"/>
  <Override PartName="/xl/charts/chart17.xml" ContentType="application/vnd.openxmlformats-officedocument.drawingml.chart+xml"/>
  <Override PartName="/xl/drawings/drawing24.xml" ContentType="application/vnd.openxmlformats-officedocument.drawingml.chartshapes+xml"/>
  <Override PartName="/xl/charts/chart18.xml" ContentType="application/vnd.openxmlformats-officedocument.drawingml.chart+xml"/>
  <Override PartName="/xl/drawings/drawing25.xml" ContentType="application/vnd.openxmlformats-officedocument.drawingml.chartshapes+xml"/>
  <Override PartName="/xl/charts/chart19.xml" ContentType="application/vnd.openxmlformats-officedocument.drawingml.chart+xml"/>
  <Override PartName="/xl/drawings/drawing2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0910"/>
  <workbookPr autoCompressPictures="0"/>
  <bookViews>
    <workbookView xWindow="0" yWindow="0" windowWidth="25520" windowHeight="15620" tabRatio="812"/>
  </bookViews>
  <sheets>
    <sheet name="Summary" sheetId="10" r:id="rId1"/>
    <sheet name="Index" sheetId="31" r:id="rId2"/>
    <sheet name="Baucus" sheetId="34" r:id="rId3"/>
    <sheet name="Graph_CO2" sheetId="11" r:id="rId4"/>
    <sheet name="Graph_Oil" sheetId="22" r:id="rId5"/>
    <sheet name="Graph_Revenue" sheetId="30" r:id="rId6"/>
    <sheet name="How" sheetId="28" r:id="rId7"/>
    <sheet name="Electricity" sheetId="4" r:id="rId8"/>
    <sheet name="Personal Ground Travel" sheetId="8" r:id="rId9"/>
    <sheet name="Freight" sheetId="26" r:id="rId10"/>
    <sheet name="Aviation" sheetId="13" r:id="rId11"/>
    <sheet name="Other_Petrol" sheetId="29" r:id="rId12"/>
    <sheet name="Other_Natural Gas" sheetId="9" r:id="rId13"/>
    <sheet name="AEO" sheetId="23" r:id="rId14"/>
    <sheet name="Parameters" sheetId="19" r:id="rId15"/>
    <sheet name="Emissions" sheetId="3" r:id="rId16"/>
    <sheet name="Energy" sheetId="27" r:id="rId17"/>
    <sheet name="GHG's" sheetId="16" r:id="rId18"/>
    <sheet name="Elasticities" sheetId="21" state="hidden" r:id="rId19"/>
    <sheet name="Other Graphs" sheetId="32" r:id="rId20"/>
    <sheet name="Larson Revenue" sheetId="15" r:id="rId21"/>
    <sheet name="Re-Spending" sheetId="20" state="hidden" r:id="rId22"/>
    <sheet name="Admin Cost" sheetId="33" r:id="rId23"/>
    <sheet name="Setting" sheetId="24" r:id="rId24"/>
  </sheets>
  <definedNames>
    <definedName name="Electricity_Realignment_Sketch">Electricity!$142:$142</definedName>
    <definedName name="global_mitigation" localSheetId="17">'GHG''s'!$B$47</definedName>
    <definedName name="Inputs">Summary!$A$80</definedName>
    <definedName name="_xlnm.Print_Area" localSheetId="10">Aviation!$B$1:$AI$78</definedName>
    <definedName name="_xlnm.Print_Area" localSheetId="2">Baucus!$B$63:$I$85</definedName>
    <definedName name="_xlnm.Print_Area" localSheetId="7">Electricity!$B$1:$AI$81</definedName>
    <definedName name="_xlnm.Print_Area" localSheetId="15">Emissions!$B$1:$I$85</definedName>
    <definedName name="_xlnm.Print_Area" localSheetId="9">Freight!$B$1:$AI$77</definedName>
    <definedName name="_xlnm.Print_Area" localSheetId="3">Graph_CO2!$B$18:$L$41</definedName>
    <definedName name="_xlnm.Print_Area" localSheetId="12">'Other_Natural Gas'!$B$1:$AI$89</definedName>
    <definedName name="_xlnm.Print_Area" localSheetId="8">'Personal Ground Travel'!$B$1:$AI$73</definedName>
    <definedName name="_xlnm.Print_Area" localSheetId="0">Summary!$B$1:$AM$200</definedName>
    <definedName name="Results">Summary!$A$115</definedName>
  </definedNames>
  <calcPr calcId="140001" iterate="1" concurrentCalc="0"/>
  <extLst>
    <ext xmlns:mx="http://schemas.microsoft.com/office/mac/excel/2008/main" uri="{7523E5D3-25F3-A5E0-1632-64F254C22452}">
      <mx:ArchID Flags="2"/>
    </ext>
  </extLst>
</workbook>
</file>

<file path=xl/calcChain.xml><?xml version="1.0" encoding="utf-8"?>
<calcChain xmlns="http://schemas.openxmlformats.org/spreadsheetml/2006/main">
  <c r="AO67" i="10" l="1"/>
  <c r="AP4" i="4"/>
  <c r="J64" i="10"/>
  <c r="N26" i="3"/>
  <c r="N30" i="3"/>
  <c r="N34" i="3"/>
  <c r="N38" i="3"/>
  <c r="N40" i="3"/>
  <c r="I20" i="34"/>
  <c r="I22" i="34"/>
  <c r="I26" i="34"/>
  <c r="I28" i="34"/>
  <c r="I32" i="34"/>
  <c r="E50" i="34"/>
  <c r="K26" i="8"/>
  <c r="H13" i="19"/>
  <c r="K28" i="8"/>
  <c r="I37" i="34"/>
  <c r="I39" i="34"/>
  <c r="I43" i="34"/>
  <c r="F50" i="34"/>
  <c r="J50" i="34"/>
  <c r="O4" i="9"/>
  <c r="I50" i="34"/>
  <c r="O4" i="29"/>
  <c r="H50" i="34"/>
  <c r="O4" i="13"/>
  <c r="G50" i="34"/>
  <c r="O4" i="26"/>
  <c r="O4" i="8"/>
  <c r="M50" i="34"/>
  <c r="Q3" i="9"/>
  <c r="Q3" i="29"/>
  <c r="Q3" i="13"/>
  <c r="Q3" i="26"/>
  <c r="Q3" i="8"/>
  <c r="Q3" i="4"/>
  <c r="M113" i="34"/>
  <c r="M156" i="34"/>
  <c r="M155" i="34"/>
  <c r="M154" i="34"/>
  <c r="M153" i="34"/>
  <c r="M152" i="34"/>
  <c r="M151" i="34"/>
  <c r="M150" i="34"/>
  <c r="M149" i="34"/>
  <c r="M148" i="34"/>
  <c r="O29" i="19"/>
  <c r="B151" i="34"/>
  <c r="M147" i="34"/>
  <c r="M146" i="34"/>
  <c r="M145" i="34"/>
  <c r="M144" i="34"/>
  <c r="M143" i="34"/>
  <c r="M142" i="34"/>
  <c r="J1" i="34"/>
  <c r="M9" i="34"/>
  <c r="M8" i="34"/>
  <c r="M7" i="34"/>
  <c r="M6" i="34"/>
  <c r="M5" i="34"/>
  <c r="M141" i="34"/>
  <c r="M140" i="34"/>
  <c r="M139" i="34"/>
  <c r="M138" i="34"/>
  <c r="M137" i="34"/>
  <c r="M136" i="34"/>
  <c r="M135" i="34"/>
  <c r="M45" i="34"/>
  <c r="J135" i="34"/>
  <c r="I135" i="34"/>
  <c r="M134" i="34"/>
  <c r="M133" i="34"/>
  <c r="M132" i="34"/>
  <c r="M131" i="34"/>
  <c r="M130" i="34"/>
  <c r="M129" i="34"/>
  <c r="M128" i="34"/>
  <c r="M127" i="34"/>
  <c r="M126" i="34"/>
  <c r="M125" i="34"/>
  <c r="M124" i="34"/>
  <c r="M123" i="34"/>
  <c r="B126" i="34"/>
  <c r="M122" i="34"/>
  <c r="M121" i="34"/>
  <c r="M119" i="34"/>
  <c r="B124" i="34"/>
  <c r="M120" i="34"/>
  <c r="M118" i="34"/>
  <c r="M117" i="34"/>
  <c r="M99" i="34"/>
  <c r="M96" i="34"/>
  <c r="B93" i="34"/>
  <c r="M108" i="34"/>
  <c r="M95" i="34"/>
  <c r="M94" i="34"/>
  <c r="M62" i="34"/>
  <c r="M57" i="34"/>
  <c r="M56" i="34"/>
  <c r="B136" i="34"/>
  <c r="M59" i="34"/>
  <c r="M55" i="34"/>
  <c r="M60" i="34"/>
  <c r="M58" i="34"/>
  <c r="M61" i="34"/>
  <c r="M106" i="34"/>
  <c r="M105" i="34"/>
  <c r="M104" i="34"/>
  <c r="M102" i="34"/>
  <c r="M101" i="34"/>
  <c r="M103" i="34"/>
  <c r="B106" i="34"/>
  <c r="J92" i="34"/>
  <c r="M116" i="34"/>
  <c r="M115" i="34"/>
  <c r="M114" i="34"/>
  <c r="M112" i="34"/>
  <c r="M111" i="34"/>
  <c r="M110" i="34"/>
  <c r="M109" i="34"/>
  <c r="M107" i="34"/>
  <c r="M100" i="34"/>
  <c r="M98" i="34"/>
  <c r="M97" i="34"/>
  <c r="B122" i="34"/>
  <c r="M93" i="34"/>
  <c r="M92" i="34"/>
  <c r="B98" i="34"/>
  <c r="M91" i="34"/>
  <c r="M90" i="34"/>
  <c r="M89" i="34"/>
  <c r="M88" i="34"/>
  <c r="M87" i="34"/>
  <c r="M86" i="34"/>
  <c r="M85" i="34"/>
  <c r="M84" i="34"/>
  <c r="M83" i="34"/>
  <c r="M82" i="34"/>
  <c r="M81" i="34"/>
  <c r="M80" i="34"/>
  <c r="M79" i="34"/>
  <c r="M78" i="34"/>
  <c r="M77" i="34"/>
  <c r="M76" i="34"/>
  <c r="M75" i="34"/>
  <c r="M74" i="34"/>
  <c r="M73" i="34"/>
  <c r="M72" i="34"/>
  <c r="M71" i="34"/>
  <c r="M70" i="34"/>
  <c r="M69" i="34"/>
  <c r="M68" i="34"/>
  <c r="M67" i="34"/>
  <c r="M66" i="34"/>
  <c r="M65" i="34"/>
  <c r="M64" i="34"/>
  <c r="M63" i="34"/>
  <c r="S48" i="34"/>
  <c r="R48" i="34"/>
  <c r="O48" i="34"/>
  <c r="Q48" i="34"/>
  <c r="P48" i="34"/>
  <c r="N48" i="34"/>
  <c r="AP120" i="29"/>
  <c r="AP119" i="29"/>
  <c r="AP118" i="29"/>
  <c r="AP117" i="29"/>
  <c r="AP116" i="29"/>
  <c r="AP115" i="29"/>
  <c r="AP114" i="29"/>
  <c r="AP113" i="29"/>
  <c r="AP112" i="29"/>
  <c r="AP111" i="29"/>
  <c r="AP110" i="29"/>
  <c r="AP109" i="29"/>
  <c r="AP108" i="29"/>
  <c r="B115" i="29"/>
  <c r="AP107" i="29"/>
  <c r="AP106" i="29"/>
  <c r="AP105" i="29"/>
  <c r="AP104" i="29"/>
  <c r="AP103" i="29"/>
  <c r="AP102" i="29"/>
  <c r="AP101" i="29"/>
  <c r="AP100" i="29"/>
  <c r="AP99" i="29"/>
  <c r="AP98" i="29"/>
  <c r="AP97" i="29"/>
  <c r="AP96" i="29"/>
  <c r="AP95" i="29"/>
  <c r="AP94" i="29"/>
  <c r="AP93" i="29"/>
  <c r="AP92" i="29"/>
  <c r="AP91" i="29"/>
  <c r="AP90" i="29"/>
  <c r="AP89" i="29"/>
  <c r="AP88" i="29"/>
  <c r="AP87" i="29"/>
  <c r="AP86" i="29"/>
  <c r="AP85" i="29"/>
  <c r="AP84" i="29"/>
  <c r="AP83" i="29"/>
  <c r="AP82" i="29"/>
  <c r="AP81" i="29"/>
  <c r="AP80" i="29"/>
  <c r="AP79" i="29"/>
  <c r="AP78" i="29"/>
  <c r="AP77" i="29"/>
  <c r="AP76" i="29"/>
  <c r="AP75" i="29"/>
  <c r="AP74" i="29"/>
  <c r="AP73" i="29"/>
  <c r="AP72" i="29"/>
  <c r="AP71" i="29"/>
  <c r="AP70" i="29"/>
  <c r="AP69" i="29"/>
  <c r="AP68" i="29"/>
  <c r="AP67" i="29"/>
  <c r="AP66" i="29"/>
  <c r="AP65" i="29"/>
  <c r="J69" i="29"/>
  <c r="AP64" i="29"/>
  <c r="AP63" i="29"/>
  <c r="AP62" i="29"/>
  <c r="AP61" i="29"/>
  <c r="AP60" i="29"/>
  <c r="AP59" i="29"/>
  <c r="AP58" i="29"/>
  <c r="AP57" i="29"/>
  <c r="AP56" i="29"/>
  <c r="B112" i="29"/>
  <c r="M54" i="34"/>
  <c r="B104" i="34"/>
  <c r="M53" i="34"/>
  <c r="M52" i="34"/>
  <c r="M46" i="34"/>
  <c r="M44" i="34"/>
  <c r="M43" i="34"/>
  <c r="M42" i="34"/>
  <c r="M41" i="34"/>
  <c r="M40" i="34"/>
  <c r="M39" i="34"/>
  <c r="M38" i="34"/>
  <c r="M37" i="34"/>
  <c r="M36" i="34"/>
  <c r="M35" i="34"/>
  <c r="M34" i="34"/>
  <c r="M33" i="34"/>
  <c r="M32" i="34"/>
  <c r="B51" i="34"/>
  <c r="M31" i="34"/>
  <c r="M30" i="34"/>
  <c r="M29" i="34"/>
  <c r="M28" i="34"/>
  <c r="M27" i="34"/>
  <c r="M26" i="34"/>
  <c r="B29" i="34"/>
  <c r="M25" i="34"/>
  <c r="M24" i="34"/>
  <c r="M23" i="34"/>
  <c r="M22" i="34"/>
  <c r="M21" i="34"/>
  <c r="M20" i="34"/>
  <c r="M19" i="34"/>
  <c r="M18" i="34"/>
  <c r="M17" i="34"/>
  <c r="M16" i="34"/>
  <c r="M15" i="34"/>
  <c r="M14" i="34"/>
  <c r="M13" i="34"/>
  <c r="M12" i="34"/>
  <c r="M11" i="34"/>
  <c r="M10" i="34"/>
  <c r="M4" i="34"/>
  <c r="M3" i="34"/>
  <c r="M2" i="34"/>
  <c r="M51" i="34"/>
  <c r="B108" i="34"/>
  <c r="M49" i="34"/>
  <c r="M48" i="34"/>
  <c r="M47" i="34"/>
  <c r="AP111" i="13"/>
  <c r="AP110" i="13"/>
  <c r="AP109" i="13"/>
  <c r="AP108" i="13"/>
  <c r="AP107" i="13"/>
  <c r="AP106" i="13"/>
  <c r="AP110" i="26"/>
  <c r="AP109" i="26"/>
  <c r="AP108" i="26"/>
  <c r="AP107" i="26"/>
  <c r="AP106" i="26"/>
  <c r="AP107" i="8"/>
  <c r="AP106" i="8"/>
  <c r="AP105" i="8"/>
  <c r="AP104" i="8"/>
  <c r="AP103" i="8"/>
  <c r="AP102" i="8"/>
  <c r="AP101" i="8"/>
  <c r="M1" i="34"/>
  <c r="I40" i="33"/>
  <c r="I39" i="33"/>
  <c r="I38" i="33"/>
  <c r="I41" i="33"/>
  <c r="J49" i="33"/>
  <c r="J48" i="33"/>
  <c r="I1" i="33"/>
  <c r="AP235" i="4"/>
  <c r="AP233" i="4"/>
  <c r="AP227" i="4"/>
  <c r="AP225" i="4"/>
  <c r="AP219" i="4"/>
  <c r="AP217" i="4"/>
  <c r="AP213" i="4"/>
  <c r="AP204" i="4"/>
  <c r="AP113" i="4"/>
  <c r="B57" i="34"/>
  <c r="AP114" i="4"/>
  <c r="AP112" i="4"/>
  <c r="AP111" i="4"/>
  <c r="AP110" i="4"/>
  <c r="E58" i="32"/>
  <c r="D58" i="32"/>
  <c r="E55" i="32"/>
  <c r="D55" i="32"/>
  <c r="F103" i="32"/>
  <c r="F179" i="32"/>
  <c r="E52" i="32"/>
  <c r="D52" i="32"/>
  <c r="E103" i="32"/>
  <c r="E179" i="32"/>
  <c r="AP205" i="4"/>
  <c r="AP203" i="4"/>
  <c r="AP202" i="4"/>
  <c r="AP201" i="4"/>
  <c r="AP200" i="4"/>
  <c r="AP199" i="4"/>
  <c r="AP128" i="4"/>
  <c r="AP127" i="4"/>
  <c r="AP245" i="4"/>
  <c r="AP244" i="4"/>
  <c r="AP243" i="4"/>
  <c r="AP242" i="4"/>
  <c r="AP241" i="4"/>
  <c r="AP240" i="4"/>
  <c r="AP239" i="4"/>
  <c r="AP238" i="4"/>
  <c r="AP237" i="4"/>
  <c r="AP236" i="4"/>
  <c r="AP234" i="4"/>
  <c r="AP232" i="4"/>
  <c r="AP231" i="4"/>
  <c r="AP230" i="4"/>
  <c r="AP229" i="4"/>
  <c r="AP228" i="4"/>
  <c r="AP226" i="4"/>
  <c r="AP224" i="4"/>
  <c r="AP223" i="4"/>
  <c r="AP222" i="4"/>
  <c r="AP221" i="4"/>
  <c r="AP220" i="4"/>
  <c r="AP218" i="4"/>
  <c r="AP216" i="4"/>
  <c r="AP215" i="4"/>
  <c r="AP214" i="4"/>
  <c r="AP212" i="4"/>
  <c r="AP211" i="4"/>
  <c r="AP210" i="4"/>
  <c r="AP209" i="4"/>
  <c r="AP208" i="4"/>
  <c r="AP207" i="4"/>
  <c r="AP206" i="4"/>
  <c r="AP198" i="4"/>
  <c r="AP197" i="4"/>
  <c r="AP196" i="4"/>
  <c r="AP195" i="4"/>
  <c r="AP194" i="4"/>
  <c r="AP193" i="4"/>
  <c r="AP192" i="4"/>
  <c r="AP191" i="4"/>
  <c r="AP190" i="4"/>
  <c r="AP189" i="4"/>
  <c r="O237" i="4"/>
  <c r="O229" i="4"/>
  <c r="O221" i="4"/>
  <c r="AP141" i="4"/>
  <c r="AP140" i="4"/>
  <c r="AP185" i="4"/>
  <c r="AP184" i="4"/>
  <c r="AP183" i="4"/>
  <c r="AP182" i="4"/>
  <c r="AP181" i="4"/>
  <c r="AP179" i="4"/>
  <c r="B184" i="4"/>
  <c r="AP180" i="4"/>
  <c r="AP178" i="4"/>
  <c r="AP177" i="4"/>
  <c r="AP176" i="4"/>
  <c r="AP173" i="4"/>
  <c r="AP171" i="4"/>
  <c r="AP169" i="4"/>
  <c r="AP167" i="4"/>
  <c r="AP165" i="4"/>
  <c r="AP164" i="4"/>
  <c r="AP162" i="4"/>
  <c r="AP158" i="4"/>
  <c r="AP150" i="4"/>
  <c r="AP152" i="4"/>
  <c r="AP155" i="4"/>
  <c r="AP159" i="4"/>
  <c r="AP157" i="4"/>
  <c r="AP188" i="4"/>
  <c r="AP187" i="4"/>
  <c r="AP186" i="4"/>
  <c r="AP175" i="4"/>
  <c r="AP174" i="4"/>
  <c r="AP172" i="4"/>
  <c r="AP168" i="4"/>
  <c r="AP170" i="4"/>
  <c r="B174" i="4"/>
  <c r="AP166" i="4"/>
  <c r="AP161" i="4"/>
  <c r="B171" i="4"/>
  <c r="AP163" i="4"/>
  <c r="B169" i="4"/>
  <c r="AP160" i="4"/>
  <c r="AP156" i="4"/>
  <c r="AP154" i="4"/>
  <c r="B182" i="4"/>
  <c r="AP153" i="4"/>
  <c r="AP151" i="4"/>
  <c r="AP149" i="4"/>
  <c r="AP148" i="4"/>
  <c r="AP147" i="4"/>
  <c r="AP146" i="4"/>
  <c r="AP145" i="4"/>
  <c r="AP144" i="4"/>
  <c r="AP143" i="4"/>
  <c r="AP142" i="4"/>
  <c r="AP139" i="4"/>
  <c r="AP138" i="4"/>
  <c r="AP137" i="4"/>
  <c r="AP136" i="4"/>
  <c r="AP135" i="4"/>
  <c r="AP134" i="4"/>
  <c r="AP133" i="4"/>
  <c r="AP132" i="4"/>
  <c r="AP131" i="4"/>
  <c r="AP130" i="4"/>
  <c r="AP129" i="4"/>
  <c r="AP126" i="4"/>
  <c r="AP125" i="4"/>
  <c r="AP124" i="4"/>
  <c r="AO33" i="10"/>
  <c r="AO32" i="10"/>
  <c r="AO31" i="10"/>
  <c r="K243" i="4"/>
  <c r="N212" i="4"/>
  <c r="L212" i="4"/>
  <c r="L218" i="4"/>
  <c r="J49" i="32"/>
  <c r="D109" i="32"/>
  <c r="K212" i="4"/>
  <c r="K226" i="4"/>
  <c r="I55" i="32"/>
  <c r="F108" i="32"/>
  <c r="F184" i="32"/>
  <c r="J212" i="4"/>
  <c r="J213" i="4"/>
  <c r="I212" i="4"/>
  <c r="I218" i="4"/>
  <c r="I226" i="4"/>
  <c r="H212" i="4"/>
  <c r="H218" i="4"/>
  <c r="G212" i="4"/>
  <c r="F49" i="32"/>
  <c r="G218" i="4"/>
  <c r="F52" i="32"/>
  <c r="E105" i="32"/>
  <c r="E181" i="32"/>
  <c r="F212" i="4"/>
  <c r="F238" i="4"/>
  <c r="E212" i="4"/>
  <c r="D212" i="4"/>
  <c r="D230" i="4"/>
  <c r="M228" i="4"/>
  <c r="M236" i="4"/>
  <c r="F228" i="4"/>
  <c r="F229" i="4"/>
  <c r="F221" i="4"/>
  <c r="N23" i="27"/>
  <c r="K1" i="24"/>
  <c r="L1" i="30"/>
  <c r="O6" i="9"/>
  <c r="O6" i="29"/>
  <c r="O6" i="13"/>
  <c r="O6" i="26"/>
  <c r="O6" i="8"/>
  <c r="O6" i="4"/>
  <c r="F16" i="30"/>
  <c r="F15" i="30"/>
  <c r="F14" i="30"/>
  <c r="F8" i="22"/>
  <c r="F7" i="22"/>
  <c r="F6" i="22"/>
  <c r="F16" i="11"/>
  <c r="F14" i="11"/>
  <c r="F15" i="11"/>
  <c r="AO22" i="10"/>
  <c r="AO23" i="10"/>
  <c r="AO30" i="10"/>
  <c r="AO34" i="10"/>
  <c r="Q28" i="27"/>
  <c r="O6" i="19"/>
  <c r="B80" i="4"/>
  <c r="O11" i="19"/>
  <c r="O10" i="19"/>
  <c r="O9" i="19"/>
  <c r="O8" i="19"/>
  <c r="O7" i="19"/>
  <c r="O5" i="19"/>
  <c r="C1" i="31"/>
  <c r="AP42" i="22"/>
  <c r="AO195" i="10"/>
  <c r="AO205" i="10"/>
  <c r="AO209" i="10"/>
  <c r="AO222" i="10"/>
  <c r="AO221" i="10"/>
  <c r="AO220" i="10"/>
  <c r="AO211" i="10"/>
  <c r="AO210" i="10"/>
  <c r="AS70" i="11"/>
  <c r="AS69" i="11"/>
  <c r="AS68" i="11"/>
  <c r="AS67" i="11"/>
  <c r="AS66" i="11"/>
  <c r="AS65" i="11"/>
  <c r="AS64" i="11"/>
  <c r="B55" i="11"/>
  <c r="B72" i="11"/>
  <c r="AS53" i="11"/>
  <c r="AM184" i="10"/>
  <c r="AL184" i="10"/>
  <c r="AK184" i="10"/>
  <c r="AJ184" i="10"/>
  <c r="AI184" i="10"/>
  <c r="AH184" i="10"/>
  <c r="AG184" i="10"/>
  <c r="AF184" i="10"/>
  <c r="AE184" i="10"/>
  <c r="AD184" i="10"/>
  <c r="AC184" i="10"/>
  <c r="AB184" i="10"/>
  <c r="AA184" i="10"/>
  <c r="Z184" i="10"/>
  <c r="Y184" i="10"/>
  <c r="X184" i="10"/>
  <c r="W184" i="10"/>
  <c r="V184" i="10"/>
  <c r="U184" i="10"/>
  <c r="T184" i="10"/>
  <c r="S184" i="10"/>
  <c r="R184" i="10"/>
  <c r="Q184" i="10"/>
  <c r="P184" i="10"/>
  <c r="O184" i="10"/>
  <c r="N184" i="10"/>
  <c r="M184" i="10"/>
  <c r="L184" i="10"/>
  <c r="K184" i="10"/>
  <c r="J184" i="10"/>
  <c r="I184" i="10"/>
  <c r="AO165" i="10"/>
  <c r="AO185" i="10"/>
  <c r="AP55" i="22"/>
  <c r="AP66" i="22"/>
  <c r="AS49" i="11"/>
  <c r="B49" i="11"/>
  <c r="AO116" i="10"/>
  <c r="AO117" i="10"/>
  <c r="AO145" i="10"/>
  <c r="AO146" i="10"/>
  <c r="AO197" i="10"/>
  <c r="AO196" i="10"/>
  <c r="AO171" i="10"/>
  <c r="AO147" i="10"/>
  <c r="AO193" i="10"/>
  <c r="AO173" i="10"/>
  <c r="AO157" i="10"/>
  <c r="AO134" i="10"/>
  <c r="AO125" i="10"/>
  <c r="P67" i="29"/>
  <c r="O67" i="29"/>
  <c r="N67" i="29"/>
  <c r="M67" i="29"/>
  <c r="L67" i="29"/>
  <c r="K67" i="29"/>
  <c r="AP18" i="29"/>
  <c r="AP22" i="29"/>
  <c r="AP21" i="29"/>
  <c r="AP20" i="29"/>
  <c r="AP19" i="29"/>
  <c r="K19" i="29"/>
  <c r="Q19" i="29"/>
  <c r="B63" i="29"/>
  <c r="I38" i="19"/>
  <c r="I43" i="29"/>
  <c r="J43" i="29"/>
  <c r="AP40" i="29"/>
  <c r="O33" i="29"/>
  <c r="N33" i="29"/>
  <c r="J41" i="29"/>
  <c r="O41" i="19"/>
  <c r="O40" i="19"/>
  <c r="O39" i="19"/>
  <c r="I25" i="9"/>
  <c r="O38" i="19"/>
  <c r="O37" i="19"/>
  <c r="O36" i="19"/>
  <c r="O35" i="19"/>
  <c r="O34" i="19"/>
  <c r="O33" i="19"/>
  <c r="P33" i="29"/>
  <c r="M33" i="29"/>
  <c r="L33" i="29"/>
  <c r="K33" i="29"/>
  <c r="J33" i="29"/>
  <c r="I33" i="29"/>
  <c r="I30" i="29"/>
  <c r="I25" i="29"/>
  <c r="I20" i="9"/>
  <c r="AP66" i="9"/>
  <c r="H79" i="29"/>
  <c r="B66" i="29"/>
  <c r="AP55" i="29"/>
  <c r="AP54" i="29"/>
  <c r="J68" i="29"/>
  <c r="AP53" i="29"/>
  <c r="AP52" i="29"/>
  <c r="B53" i="29"/>
  <c r="AP51" i="29"/>
  <c r="AP50" i="29"/>
  <c r="AP49" i="29"/>
  <c r="AP48" i="29"/>
  <c r="AP47" i="29"/>
  <c r="B58" i="29"/>
  <c r="P47" i="29"/>
  <c r="O47" i="29"/>
  <c r="N47" i="29"/>
  <c r="M47" i="29"/>
  <c r="L47" i="29"/>
  <c r="K47" i="29"/>
  <c r="AP46" i="29"/>
  <c r="AP45" i="29"/>
  <c r="B50" i="29"/>
  <c r="AP44" i="29"/>
  <c r="AP43" i="29"/>
  <c r="P43" i="29"/>
  <c r="O43" i="29"/>
  <c r="N43" i="29"/>
  <c r="M43" i="29"/>
  <c r="L43" i="29"/>
  <c r="K43" i="29"/>
  <c r="AP42" i="29"/>
  <c r="AP41" i="29"/>
  <c r="AP39" i="29"/>
  <c r="AP38" i="29"/>
  <c r="AP37" i="29"/>
  <c r="B40" i="29"/>
  <c r="AP36" i="29"/>
  <c r="AP35" i="29"/>
  <c r="B38" i="29"/>
  <c r="AP34" i="29"/>
  <c r="AP33" i="29"/>
  <c r="AP32" i="29"/>
  <c r="AP31" i="29"/>
  <c r="AP30" i="29"/>
  <c r="O30" i="29"/>
  <c r="N30" i="29"/>
  <c r="M30" i="29"/>
  <c r="L30" i="29"/>
  <c r="K30" i="29"/>
  <c r="AP29" i="29"/>
  <c r="AP28" i="29"/>
  <c r="AP27" i="29"/>
  <c r="AP26" i="29"/>
  <c r="AP25" i="29"/>
  <c r="P25" i="29"/>
  <c r="O25" i="29"/>
  <c r="N25" i="29"/>
  <c r="M25" i="29"/>
  <c r="L25" i="29"/>
  <c r="K25" i="29"/>
  <c r="J25" i="29"/>
  <c r="AP24" i="29"/>
  <c r="P24" i="29"/>
  <c r="O24" i="29"/>
  <c r="N24" i="29"/>
  <c r="M24" i="29"/>
  <c r="L24" i="29"/>
  <c r="K24" i="29"/>
  <c r="AP23" i="29"/>
  <c r="AP17" i="29"/>
  <c r="AP16" i="29"/>
  <c r="AP15" i="29"/>
  <c r="O15" i="29"/>
  <c r="N15" i="29"/>
  <c r="M15" i="29"/>
  <c r="AP14" i="29"/>
  <c r="AP13" i="29"/>
  <c r="AP12" i="29"/>
  <c r="AP11" i="29"/>
  <c r="AP10" i="29"/>
  <c r="AP9" i="29"/>
  <c r="AP8" i="29"/>
  <c r="AP7" i="29"/>
  <c r="O7" i="29"/>
  <c r="AP6" i="29"/>
  <c r="AP5" i="29"/>
  <c r="O5" i="29"/>
  <c r="AP4" i="29"/>
  <c r="AP3" i="29"/>
  <c r="AP2" i="29"/>
  <c r="AP1" i="29"/>
  <c r="P1" i="29"/>
  <c r="O32" i="19"/>
  <c r="O31" i="19"/>
  <c r="AP30" i="9"/>
  <c r="B33" i="9"/>
  <c r="O30" i="19"/>
  <c r="B32" i="19"/>
  <c r="O28" i="19"/>
  <c r="O27" i="19"/>
  <c r="O24" i="19"/>
  <c r="O26" i="19"/>
  <c r="O25" i="19"/>
  <c r="O23" i="19"/>
  <c r="O22" i="19"/>
  <c r="O21" i="19"/>
  <c r="O20" i="19"/>
  <c r="H23" i="19"/>
  <c r="AP34" i="9"/>
  <c r="AP33" i="9"/>
  <c r="AP32" i="9"/>
  <c r="AP31" i="9"/>
  <c r="AP29" i="9"/>
  <c r="AP28" i="9"/>
  <c r="AP26" i="9"/>
  <c r="B31" i="9"/>
  <c r="AP27" i="9"/>
  <c r="AP25" i="9"/>
  <c r="Q56" i="27"/>
  <c r="N52" i="27"/>
  <c r="P30" i="29"/>
  <c r="O25" i="9"/>
  <c r="N25" i="9"/>
  <c r="M25" i="9"/>
  <c r="L25" i="9"/>
  <c r="K25" i="9"/>
  <c r="Q52" i="27"/>
  <c r="Q79" i="27"/>
  <c r="H28" i="27"/>
  <c r="I28" i="27"/>
  <c r="H52" i="27"/>
  <c r="AS50" i="11"/>
  <c r="B50" i="11"/>
  <c r="AS48" i="11"/>
  <c r="B48" i="11"/>
  <c r="AS47" i="11"/>
  <c r="B47" i="11"/>
  <c r="AS46" i="11"/>
  <c r="B46" i="11"/>
  <c r="AS45" i="11"/>
  <c r="B45" i="11"/>
  <c r="AS44" i="11"/>
  <c r="P51" i="22"/>
  <c r="O51" i="22"/>
  <c r="O62" i="22"/>
  <c r="O189" i="10"/>
  <c r="N51" i="22"/>
  <c r="N179" i="10"/>
  <c r="M51" i="22"/>
  <c r="L51" i="22"/>
  <c r="L179" i="10"/>
  <c r="K51" i="22"/>
  <c r="K62" i="22"/>
  <c r="K189" i="10"/>
  <c r="J51" i="22"/>
  <c r="I51" i="22"/>
  <c r="AP58" i="13"/>
  <c r="AP59" i="13"/>
  <c r="AP53" i="13"/>
  <c r="AP57" i="13"/>
  <c r="AP56" i="13"/>
  <c r="AP55" i="13"/>
  <c r="AP54" i="13"/>
  <c r="AP59" i="26"/>
  <c r="AP58" i="26"/>
  <c r="AP57" i="26"/>
  <c r="AP56" i="26"/>
  <c r="AP55" i="26"/>
  <c r="AP64" i="26"/>
  <c r="J68" i="26"/>
  <c r="AP54" i="26"/>
  <c r="AP53" i="26"/>
  <c r="H8" i="19"/>
  <c r="P53" i="22"/>
  <c r="O53" i="22"/>
  <c r="O64" i="22"/>
  <c r="N53" i="22"/>
  <c r="N181" i="10"/>
  <c r="M53" i="22"/>
  <c r="M64" i="22"/>
  <c r="M191" i="10"/>
  <c r="L53" i="22"/>
  <c r="L64" i="22"/>
  <c r="K53" i="22"/>
  <c r="K181" i="10"/>
  <c r="J53" i="22"/>
  <c r="J64" i="22"/>
  <c r="J191" i="10"/>
  <c r="I53" i="22"/>
  <c r="I64" i="22"/>
  <c r="P52" i="22"/>
  <c r="O52" i="22"/>
  <c r="O180" i="10"/>
  <c r="N52" i="22"/>
  <c r="M52" i="22"/>
  <c r="M180" i="10"/>
  <c r="L52" i="22"/>
  <c r="L180" i="10"/>
  <c r="K52" i="22"/>
  <c r="J52" i="22"/>
  <c r="J180" i="10"/>
  <c r="I52" i="22"/>
  <c r="I63" i="22"/>
  <c r="I190" i="10"/>
  <c r="P39" i="22"/>
  <c r="P58" i="22"/>
  <c r="Q19" i="27"/>
  <c r="Q18" i="27"/>
  <c r="Q17" i="27"/>
  <c r="AO20" i="10"/>
  <c r="AO24" i="10"/>
  <c r="AO27" i="10"/>
  <c r="AO38" i="10"/>
  <c r="AO82" i="10"/>
  <c r="AO106" i="10"/>
  <c r="AO143" i="10"/>
  <c r="AO149" i="10"/>
  <c r="AO127" i="10"/>
  <c r="AO137" i="10"/>
  <c r="N17" i="23"/>
  <c r="AP59" i="4"/>
  <c r="AP40" i="4"/>
  <c r="AP39" i="4"/>
  <c r="AP38" i="4"/>
  <c r="AP37" i="4"/>
  <c r="B40" i="4"/>
  <c r="AP34" i="4"/>
  <c r="AP35" i="4"/>
  <c r="J1" i="28"/>
  <c r="P63" i="9"/>
  <c r="O63" i="9"/>
  <c r="N63" i="9"/>
  <c r="M63" i="9"/>
  <c r="L63" i="9"/>
  <c r="K63" i="9"/>
  <c r="P13" i="13"/>
  <c r="P30" i="13"/>
  <c r="O13" i="13"/>
  <c r="O45" i="13"/>
  <c r="N13" i="13"/>
  <c r="N67" i="13"/>
  <c r="M13" i="13"/>
  <c r="M45" i="13"/>
  <c r="L13" i="13"/>
  <c r="L30" i="13"/>
  <c r="K13" i="13"/>
  <c r="K30" i="13"/>
  <c r="J13" i="13"/>
  <c r="I13" i="13"/>
  <c r="P13" i="26"/>
  <c r="P67" i="26"/>
  <c r="O13" i="26"/>
  <c r="O30" i="26"/>
  <c r="O43" i="26"/>
  <c r="N13" i="26"/>
  <c r="N30" i="26"/>
  <c r="N43" i="26"/>
  <c r="M13" i="26"/>
  <c r="M30" i="26"/>
  <c r="M43" i="26"/>
  <c r="L13" i="26"/>
  <c r="L67" i="26"/>
  <c r="K13" i="26"/>
  <c r="K67" i="26"/>
  <c r="J13" i="26"/>
  <c r="I13" i="26"/>
  <c r="P13" i="8"/>
  <c r="P62" i="8"/>
  <c r="O13" i="8"/>
  <c r="O30" i="8"/>
  <c r="N13" i="8"/>
  <c r="N46" i="8"/>
  <c r="M13" i="8"/>
  <c r="M62" i="8"/>
  <c r="L13" i="8"/>
  <c r="L30" i="8"/>
  <c r="K13" i="8"/>
  <c r="K62" i="8"/>
  <c r="J13" i="8"/>
  <c r="I13" i="8"/>
  <c r="P13" i="4"/>
  <c r="P20" i="4"/>
  <c r="O13" i="4"/>
  <c r="O49" i="4"/>
  <c r="N13" i="4"/>
  <c r="N20" i="4"/>
  <c r="M13" i="4"/>
  <c r="M49" i="4"/>
  <c r="L13" i="4"/>
  <c r="L66" i="4"/>
  <c r="K13" i="4"/>
  <c r="K20" i="4"/>
  <c r="J13" i="4"/>
  <c r="I13" i="4"/>
  <c r="AP67" i="4"/>
  <c r="AP65" i="4"/>
  <c r="AP48" i="4"/>
  <c r="AP8" i="4"/>
  <c r="AP9" i="4"/>
  <c r="AP10" i="4"/>
  <c r="AP11" i="4"/>
  <c r="AP12" i="4"/>
  <c r="O7" i="4"/>
  <c r="O5" i="4"/>
  <c r="I6" i="11"/>
  <c r="I53" i="11"/>
  <c r="P6" i="11"/>
  <c r="P53" i="11"/>
  <c r="O6" i="11"/>
  <c r="O53" i="11"/>
  <c r="N6" i="11"/>
  <c r="N53" i="11"/>
  <c r="M6" i="11"/>
  <c r="M53" i="11"/>
  <c r="L6" i="11"/>
  <c r="L53" i="11"/>
  <c r="K6" i="11"/>
  <c r="K53" i="11"/>
  <c r="J6" i="11"/>
  <c r="J53" i="11"/>
  <c r="Q212" i="10"/>
  <c r="P176" i="10"/>
  <c r="O176" i="10"/>
  <c r="N176" i="10"/>
  <c r="M176" i="10"/>
  <c r="L176" i="10"/>
  <c r="K176" i="10"/>
  <c r="J176" i="10"/>
  <c r="I176" i="10"/>
  <c r="P198" i="10"/>
  <c r="O198" i="10"/>
  <c r="N198" i="10"/>
  <c r="M198" i="10"/>
  <c r="L198" i="10"/>
  <c r="K198" i="10"/>
  <c r="J198" i="10"/>
  <c r="I198" i="10"/>
  <c r="P148" i="10"/>
  <c r="O148" i="10"/>
  <c r="N148" i="10"/>
  <c r="M148" i="10"/>
  <c r="L148" i="10"/>
  <c r="K148" i="10"/>
  <c r="J148" i="10"/>
  <c r="I148" i="10"/>
  <c r="H120" i="10"/>
  <c r="G120" i="10"/>
  <c r="O4" i="19"/>
  <c r="AO107" i="10"/>
  <c r="AO164" i="10"/>
  <c r="AO162" i="10"/>
  <c r="AO161" i="10"/>
  <c r="AO160" i="10"/>
  <c r="AO159" i="10"/>
  <c r="AO155" i="10"/>
  <c r="AO156" i="10"/>
  <c r="AO154" i="10"/>
  <c r="AO153" i="10"/>
  <c r="AO152" i="10"/>
  <c r="AP78" i="9"/>
  <c r="AP77" i="9"/>
  <c r="AP71" i="9"/>
  <c r="AP72" i="9"/>
  <c r="J77" i="9"/>
  <c r="AP66" i="13"/>
  <c r="AP65" i="13"/>
  <c r="AP64" i="13"/>
  <c r="J68" i="13"/>
  <c r="AP51" i="13"/>
  <c r="B54" i="13"/>
  <c r="AP52" i="13"/>
  <c r="P51" i="13"/>
  <c r="AP27" i="4"/>
  <c r="AP31" i="4"/>
  <c r="AP70" i="4"/>
  <c r="AP69" i="4"/>
  <c r="AP68" i="4"/>
  <c r="AP64" i="4"/>
  <c r="AP10" i="26"/>
  <c r="AP9" i="26"/>
  <c r="AP40" i="26"/>
  <c r="AP52" i="26"/>
  <c r="AP51" i="26"/>
  <c r="B54" i="26"/>
  <c r="AP63" i="26"/>
  <c r="P76" i="9"/>
  <c r="AP57" i="9"/>
  <c r="AP56" i="9"/>
  <c r="AP55" i="9"/>
  <c r="B58" i="9"/>
  <c r="AP54" i="9"/>
  <c r="AP53" i="9"/>
  <c r="B56" i="9"/>
  <c r="AP58" i="9"/>
  <c r="AP52" i="9"/>
  <c r="AP51" i="9"/>
  <c r="AP49" i="9"/>
  <c r="B52" i="9"/>
  <c r="AP48" i="9"/>
  <c r="AP47" i="9"/>
  <c r="E12" i="23"/>
  <c r="J12" i="23"/>
  <c r="AP50" i="9"/>
  <c r="AP46" i="9"/>
  <c r="AP59" i="9"/>
  <c r="AP45" i="9"/>
  <c r="AP44" i="9"/>
  <c r="AP37" i="9"/>
  <c r="AP43" i="9"/>
  <c r="AP42" i="9"/>
  <c r="AP41" i="9"/>
  <c r="AP40" i="9"/>
  <c r="AP39" i="9"/>
  <c r="AP38" i="9"/>
  <c r="AP36" i="9"/>
  <c r="P40" i="9"/>
  <c r="O40" i="9"/>
  <c r="N40" i="9"/>
  <c r="M40" i="9"/>
  <c r="L40" i="9"/>
  <c r="K40" i="9"/>
  <c r="I65" i="27"/>
  <c r="K38" i="9"/>
  <c r="K45" i="29"/>
  <c r="K49" i="29"/>
  <c r="J65" i="27"/>
  <c r="J69" i="27"/>
  <c r="K65" i="27"/>
  <c r="K69" i="27"/>
  <c r="I57" i="27"/>
  <c r="J57" i="27"/>
  <c r="K57" i="27"/>
  <c r="P36" i="9"/>
  <c r="O36" i="9"/>
  <c r="N36" i="9"/>
  <c r="M36" i="9"/>
  <c r="L36" i="9"/>
  <c r="K36" i="9"/>
  <c r="P19" i="9"/>
  <c r="O19" i="9"/>
  <c r="N19" i="9"/>
  <c r="M19" i="9"/>
  <c r="L19" i="9"/>
  <c r="K19" i="9"/>
  <c r="I121" i="3"/>
  <c r="I119" i="3"/>
  <c r="J119" i="3"/>
  <c r="I118" i="3"/>
  <c r="J118" i="3"/>
  <c r="I117" i="3"/>
  <c r="I116" i="3"/>
  <c r="J116" i="3"/>
  <c r="H120" i="3"/>
  <c r="N57" i="27"/>
  <c r="M57" i="27"/>
  <c r="L57" i="27"/>
  <c r="N65" i="27"/>
  <c r="P45" i="29"/>
  <c r="M65" i="27"/>
  <c r="O45" i="29"/>
  <c r="O49" i="29"/>
  <c r="M73" i="27"/>
  <c r="L65" i="27"/>
  <c r="N45" i="29"/>
  <c r="N49" i="29"/>
  <c r="AP65" i="9"/>
  <c r="AP63" i="9"/>
  <c r="AP61" i="9"/>
  <c r="N12" i="23"/>
  <c r="L12" i="23"/>
  <c r="K12" i="23"/>
  <c r="AP85" i="9"/>
  <c r="AP8" i="9"/>
  <c r="AP7" i="9"/>
  <c r="AP6" i="9"/>
  <c r="AP5" i="9"/>
  <c r="AP4" i="9"/>
  <c r="AP3" i="9"/>
  <c r="AP18" i="9"/>
  <c r="K20" i="9"/>
  <c r="P20" i="9"/>
  <c r="O20" i="9"/>
  <c r="N20" i="9"/>
  <c r="M20" i="9"/>
  <c r="L20" i="9"/>
  <c r="Q38" i="27"/>
  <c r="Q66" i="27"/>
  <c r="N46" i="27"/>
  <c r="N45" i="27"/>
  <c r="N44" i="27"/>
  <c r="M46" i="27"/>
  <c r="M45" i="27"/>
  <c r="M44" i="27"/>
  <c r="J46" i="27"/>
  <c r="I46" i="27"/>
  <c r="H46" i="27"/>
  <c r="G46" i="27"/>
  <c r="J45" i="27"/>
  <c r="I45" i="27"/>
  <c r="H45" i="27"/>
  <c r="H44" i="27"/>
  <c r="H48" i="27"/>
  <c r="G45" i="27"/>
  <c r="J44" i="27"/>
  <c r="J48" i="27"/>
  <c r="L26" i="29"/>
  <c r="I44" i="27"/>
  <c r="I48" i="27"/>
  <c r="K26" i="29"/>
  <c r="G44" i="27"/>
  <c r="G48" i="27"/>
  <c r="I21" i="9"/>
  <c r="L46" i="27"/>
  <c r="L45" i="27"/>
  <c r="L44" i="27"/>
  <c r="L48" i="27"/>
  <c r="K46" i="27"/>
  <c r="K45" i="27"/>
  <c r="K44" i="27"/>
  <c r="K48" i="27"/>
  <c r="M26" i="29"/>
  <c r="Q37" i="27"/>
  <c r="Q77" i="3"/>
  <c r="M81" i="3"/>
  <c r="L81" i="3"/>
  <c r="M78" i="3"/>
  <c r="L78" i="3"/>
  <c r="M74" i="3"/>
  <c r="L74" i="3"/>
  <c r="M40" i="3"/>
  <c r="M8" i="27"/>
  <c r="M86" i="3"/>
  <c r="L40" i="3"/>
  <c r="K40" i="3"/>
  <c r="J40" i="3"/>
  <c r="I40" i="3"/>
  <c r="H40" i="3"/>
  <c r="J46" i="4"/>
  <c r="G40" i="3"/>
  <c r="G86" i="3"/>
  <c r="I41" i="4"/>
  <c r="Q78" i="27"/>
  <c r="Q77" i="27"/>
  <c r="Q76" i="27"/>
  <c r="Q75" i="27"/>
  <c r="Q74" i="27"/>
  <c r="Q73" i="27"/>
  <c r="Q72" i="27"/>
  <c r="Q71" i="27"/>
  <c r="Q70" i="27"/>
  <c r="Q69" i="27"/>
  <c r="Q68" i="27"/>
  <c r="Q67" i="27"/>
  <c r="Q65" i="27"/>
  <c r="Q64" i="27"/>
  <c r="Q63" i="27"/>
  <c r="Q62" i="27"/>
  <c r="Q61" i="27"/>
  <c r="Q60" i="27"/>
  <c r="Q59" i="27"/>
  <c r="Q58" i="27"/>
  <c r="Q57" i="27"/>
  <c r="Q55" i="27"/>
  <c r="Q54" i="27"/>
  <c r="Q53" i="27"/>
  <c r="Q51" i="27"/>
  <c r="Q50" i="27"/>
  <c r="Q49" i="27"/>
  <c r="Q48" i="27"/>
  <c r="Q47" i="27"/>
  <c r="Q46" i="27"/>
  <c r="Q45" i="27"/>
  <c r="Q44" i="27"/>
  <c r="Q43" i="27"/>
  <c r="Q42" i="27"/>
  <c r="B48" i="29"/>
  <c r="B30" i="19"/>
  <c r="Q41" i="27"/>
  <c r="Q40" i="27"/>
  <c r="Q39" i="27"/>
  <c r="Q36" i="27"/>
  <c r="Q35" i="27"/>
  <c r="Q34" i="27"/>
  <c r="Q33" i="27"/>
  <c r="H20" i="9"/>
  <c r="H25" i="29"/>
  <c r="Q32" i="27"/>
  <c r="Q31" i="27"/>
  <c r="Q30" i="27"/>
  <c r="Q29" i="27"/>
  <c r="Q27" i="27"/>
  <c r="Q26" i="27"/>
  <c r="Q25" i="27"/>
  <c r="O54" i="3"/>
  <c r="Q24" i="27"/>
  <c r="Q23" i="27"/>
  <c r="O63" i="3"/>
  <c r="Q22" i="27"/>
  <c r="O47" i="3"/>
  <c r="Q21" i="27"/>
  <c r="Q20" i="27"/>
  <c r="Q16" i="27"/>
  <c r="Q15" i="27"/>
  <c r="Q14" i="27"/>
  <c r="Q13" i="27"/>
  <c r="Q12" i="27"/>
  <c r="O26" i="3"/>
  <c r="Q11" i="27"/>
  <c r="Q10" i="27"/>
  <c r="Q9" i="27"/>
  <c r="Q8" i="27"/>
  <c r="Q7" i="27"/>
  <c r="Q6" i="27"/>
  <c r="Q5" i="27"/>
  <c r="Q4" i="27"/>
  <c r="Q3" i="27"/>
  <c r="Q2" i="27"/>
  <c r="Q1" i="27"/>
  <c r="Q130" i="3"/>
  <c r="Q129" i="3"/>
  <c r="Q128" i="3"/>
  <c r="Q127" i="3"/>
  <c r="Q126" i="3"/>
  <c r="Q125" i="3"/>
  <c r="Q124" i="3"/>
  <c r="Q123" i="3"/>
  <c r="Q122" i="3"/>
  <c r="Q121" i="3"/>
  <c r="Q120" i="3"/>
  <c r="Q119" i="3"/>
  <c r="Q118" i="3"/>
  <c r="Q117" i="3"/>
  <c r="Q116" i="3"/>
  <c r="Q115" i="3"/>
  <c r="Q114" i="3"/>
  <c r="Q113" i="3"/>
  <c r="Q112" i="3"/>
  <c r="Q111" i="3"/>
  <c r="Q110" i="3"/>
  <c r="Q109" i="3"/>
  <c r="Q108" i="3"/>
  <c r="Q107" i="3"/>
  <c r="Q106" i="3"/>
  <c r="Q105" i="3"/>
  <c r="Q104" i="3"/>
  <c r="Q103" i="3"/>
  <c r="Q102" i="3"/>
  <c r="Q101" i="3"/>
  <c r="Q100" i="3"/>
  <c r="Q99" i="3"/>
  <c r="Q98" i="3"/>
  <c r="Q97" i="3"/>
  <c r="Q96" i="3"/>
  <c r="Q95" i="3"/>
  <c r="Q94" i="3"/>
  <c r="Q93" i="3"/>
  <c r="Q92" i="3"/>
  <c r="Q91" i="3"/>
  <c r="Q90" i="3"/>
  <c r="Q89" i="3"/>
  <c r="Q88" i="3"/>
  <c r="B34" i="4"/>
  <c r="Q87" i="3"/>
  <c r="Q86" i="3"/>
  <c r="B42" i="4"/>
  <c r="Q85" i="3"/>
  <c r="Q84" i="3"/>
  <c r="Q80" i="3"/>
  <c r="Q79" i="3"/>
  <c r="Q78" i="3"/>
  <c r="Q83" i="3"/>
  <c r="Q82" i="3"/>
  <c r="Q81" i="3"/>
  <c r="Q76" i="3"/>
  <c r="Q75" i="3"/>
  <c r="Q74" i="3"/>
  <c r="Q73" i="3"/>
  <c r="Q72" i="3"/>
  <c r="Q71" i="3"/>
  <c r="Q70" i="3"/>
  <c r="Q69" i="3"/>
  <c r="Q64" i="3"/>
  <c r="Q66" i="3"/>
  <c r="Q67" i="3"/>
  <c r="B82" i="3"/>
  <c r="Q68" i="3"/>
  <c r="Q65" i="3"/>
  <c r="Q63" i="3"/>
  <c r="Q62" i="3"/>
  <c r="Q61" i="3"/>
  <c r="Q60" i="3"/>
  <c r="Q59" i="3"/>
  <c r="Q58" i="3"/>
  <c r="Q57" i="3"/>
  <c r="Q56" i="3"/>
  <c r="Q55" i="3"/>
  <c r="Q54" i="3"/>
  <c r="Q53" i="3"/>
  <c r="Q52" i="3"/>
  <c r="Q51" i="3"/>
  <c r="Q50" i="3"/>
  <c r="B79" i="3"/>
  <c r="Q49" i="3"/>
  <c r="Q48" i="3"/>
  <c r="B75" i="3"/>
  <c r="Q47" i="3"/>
  <c r="Q46" i="3"/>
  <c r="Q45" i="3"/>
  <c r="Q44" i="3"/>
  <c r="Q43" i="3"/>
  <c r="Q42" i="3"/>
  <c r="Q41" i="3"/>
  <c r="Q40" i="3"/>
  <c r="Q39" i="3"/>
  <c r="Q38" i="3"/>
  <c r="Q37" i="3"/>
  <c r="Q36" i="3"/>
  <c r="Q35" i="3"/>
  <c r="Q34" i="3"/>
  <c r="Q33" i="3"/>
  <c r="Q32" i="3"/>
  <c r="Q31" i="3"/>
  <c r="Q30" i="3"/>
  <c r="Q29" i="3"/>
  <c r="Q28" i="3"/>
  <c r="Q27" i="3"/>
  <c r="Q26" i="3"/>
  <c r="Q25" i="3"/>
  <c r="Q24" i="3"/>
  <c r="Q23" i="3"/>
  <c r="Q22" i="3"/>
  <c r="Q21" i="3"/>
  <c r="Q20" i="3"/>
  <c r="Q19" i="3"/>
  <c r="Q18" i="3"/>
  <c r="Q17" i="3"/>
  <c r="Q16" i="3"/>
  <c r="Q15" i="3"/>
  <c r="Q14" i="3"/>
  <c r="Q13" i="3"/>
  <c r="Q12" i="3"/>
  <c r="Q11" i="3"/>
  <c r="Q10" i="3"/>
  <c r="Q9" i="3"/>
  <c r="Q8" i="3"/>
  <c r="Q7" i="3"/>
  <c r="Q6" i="3"/>
  <c r="Q5" i="3"/>
  <c r="Q4" i="3"/>
  <c r="Q3" i="3"/>
  <c r="Q2" i="3"/>
  <c r="M23" i="27"/>
  <c r="O31" i="13"/>
  <c r="O33" i="13"/>
  <c r="O34" i="13"/>
  <c r="O54" i="22"/>
  <c r="O182" i="10"/>
  <c r="L23" i="27"/>
  <c r="L27" i="27"/>
  <c r="N54" i="22"/>
  <c r="K23" i="27"/>
  <c r="M31" i="13"/>
  <c r="M54" i="22"/>
  <c r="K27" i="27"/>
  <c r="J23" i="27"/>
  <c r="L54" i="22"/>
  <c r="L65" i="22"/>
  <c r="L192" i="10"/>
  <c r="J27" i="27"/>
  <c r="I23" i="27"/>
  <c r="H23" i="27"/>
  <c r="J54" i="22"/>
  <c r="G23" i="27"/>
  <c r="I54" i="22"/>
  <c r="I65" i="22"/>
  <c r="I192" i="10"/>
  <c r="G27" i="27"/>
  <c r="G15" i="27"/>
  <c r="G18" i="27"/>
  <c r="H15" i="27"/>
  <c r="H8" i="27"/>
  <c r="H18" i="27"/>
  <c r="I15" i="27"/>
  <c r="I8" i="27"/>
  <c r="I18" i="27"/>
  <c r="J15" i="27"/>
  <c r="J8" i="27"/>
  <c r="J18" i="27"/>
  <c r="K15" i="27"/>
  <c r="K8" i="27"/>
  <c r="K18" i="27"/>
  <c r="L15" i="27"/>
  <c r="L8" i="27"/>
  <c r="L18" i="27"/>
  <c r="M15" i="27"/>
  <c r="M18" i="27"/>
  <c r="N15" i="27"/>
  <c r="N18" i="27"/>
  <c r="N44" i="4"/>
  <c r="N28" i="4"/>
  <c r="N43" i="4"/>
  <c r="L44" i="4"/>
  <c r="K44" i="4"/>
  <c r="K1" i="27"/>
  <c r="N72" i="3"/>
  <c r="N71" i="3"/>
  <c r="N62" i="3"/>
  <c r="N61" i="3"/>
  <c r="N60" i="3"/>
  <c r="N59" i="3"/>
  <c r="N58" i="3"/>
  <c r="N57" i="3"/>
  <c r="N56" i="3"/>
  <c r="N55" i="3"/>
  <c r="N54" i="3"/>
  <c r="N53" i="3"/>
  <c r="N52" i="3"/>
  <c r="N51" i="3"/>
  <c r="N50" i="3"/>
  <c r="N49" i="3"/>
  <c r="N48" i="3"/>
  <c r="N47" i="3"/>
  <c r="M68" i="3"/>
  <c r="L68" i="3"/>
  <c r="K68" i="3"/>
  <c r="J68" i="3"/>
  <c r="I68" i="3"/>
  <c r="G68" i="3"/>
  <c r="M35" i="3"/>
  <c r="E214" i="4"/>
  <c r="M31" i="3"/>
  <c r="M27" i="3"/>
  <c r="M21" i="3"/>
  <c r="M19" i="3"/>
  <c r="AP17" i="9"/>
  <c r="P69" i="9"/>
  <c r="AP16" i="9"/>
  <c r="AP15" i="9"/>
  <c r="O15" i="9"/>
  <c r="N15" i="9"/>
  <c r="M15" i="9"/>
  <c r="O7" i="9"/>
  <c r="O5" i="9"/>
  <c r="AP63" i="13"/>
  <c r="AP62" i="13"/>
  <c r="AP61" i="13"/>
  <c r="AP50" i="13"/>
  <c r="AP38" i="13"/>
  <c r="AP32" i="13"/>
  <c r="AP23" i="13"/>
  <c r="AP14" i="13"/>
  <c r="AP13" i="13"/>
  <c r="AP12" i="13"/>
  <c r="AP11" i="13"/>
  <c r="AP10" i="13"/>
  <c r="AP9" i="13"/>
  <c r="AP60" i="13"/>
  <c r="B63" i="13"/>
  <c r="AP49" i="13"/>
  <c r="AP48" i="13"/>
  <c r="AP47" i="13"/>
  <c r="J45" i="13"/>
  <c r="K36" i="13"/>
  <c r="K41" i="13"/>
  <c r="AP30" i="13"/>
  <c r="K19" i="13"/>
  <c r="Q19" i="13"/>
  <c r="AP22" i="13"/>
  <c r="AP21" i="13"/>
  <c r="AP20" i="13"/>
  <c r="AP19" i="13"/>
  <c r="AP18" i="13"/>
  <c r="AP17" i="13"/>
  <c r="AP16" i="13"/>
  <c r="AP15" i="13"/>
  <c r="O15" i="13"/>
  <c r="N15" i="13"/>
  <c r="M15" i="13"/>
  <c r="O7" i="13"/>
  <c r="O5" i="13"/>
  <c r="K19" i="26"/>
  <c r="Q19" i="26"/>
  <c r="AP65" i="26"/>
  <c r="AP58" i="8"/>
  <c r="AP56" i="8"/>
  <c r="AP54" i="8"/>
  <c r="AP53" i="8"/>
  <c r="AP52" i="8"/>
  <c r="AP51" i="8"/>
  <c r="AP38" i="8"/>
  <c r="AP10" i="8"/>
  <c r="AP9" i="8"/>
  <c r="AP62" i="26"/>
  <c r="K26" i="26"/>
  <c r="AP47" i="26"/>
  <c r="AP48" i="26"/>
  <c r="AP49" i="26"/>
  <c r="AP50" i="26"/>
  <c r="P47" i="26"/>
  <c r="P31" i="26"/>
  <c r="P33" i="26"/>
  <c r="P34" i="26"/>
  <c r="P55" i="26"/>
  <c r="O31" i="26"/>
  <c r="O33" i="26"/>
  <c r="O34" i="26"/>
  <c r="O55" i="26"/>
  <c r="N31" i="26"/>
  <c r="N33" i="26"/>
  <c r="N34" i="26"/>
  <c r="N55" i="26"/>
  <c r="M31" i="26"/>
  <c r="M33" i="26"/>
  <c r="M34" i="26"/>
  <c r="M55" i="26"/>
  <c r="L31" i="26"/>
  <c r="L33" i="26"/>
  <c r="L34" i="26"/>
  <c r="L55" i="26"/>
  <c r="K31" i="26"/>
  <c r="K33" i="26"/>
  <c r="K34" i="26"/>
  <c r="K55" i="26"/>
  <c r="J31" i="26"/>
  <c r="J33" i="26"/>
  <c r="J34" i="26"/>
  <c r="J55" i="26"/>
  <c r="I31" i="26"/>
  <c r="I33" i="26"/>
  <c r="I34" i="26"/>
  <c r="I55" i="26"/>
  <c r="AP105" i="26"/>
  <c r="AP104" i="26"/>
  <c r="B111" i="26"/>
  <c r="AP103" i="26"/>
  <c r="AP102" i="26"/>
  <c r="AP101" i="26"/>
  <c r="AP100" i="26"/>
  <c r="AP99" i="26"/>
  <c r="AP98" i="26"/>
  <c r="AP97" i="26"/>
  <c r="AP96" i="26"/>
  <c r="AP95" i="26"/>
  <c r="AP94" i="26"/>
  <c r="AP93" i="26"/>
  <c r="AP92" i="26"/>
  <c r="AP91" i="26"/>
  <c r="AP90" i="26"/>
  <c r="AP89" i="26"/>
  <c r="AP88" i="26"/>
  <c r="AP87" i="26"/>
  <c r="AP86" i="26"/>
  <c r="AP85" i="26"/>
  <c r="AP84" i="26"/>
  <c r="AP83" i="26"/>
  <c r="AP82" i="26"/>
  <c r="AP81" i="26"/>
  <c r="AP80" i="26"/>
  <c r="AP79" i="26"/>
  <c r="AP78" i="26"/>
  <c r="AP77" i="26"/>
  <c r="AP76" i="26"/>
  <c r="I76" i="26"/>
  <c r="AP75" i="26"/>
  <c r="AP74" i="26"/>
  <c r="AP73" i="26"/>
  <c r="AP72" i="26"/>
  <c r="AP71" i="26"/>
  <c r="AP70" i="26"/>
  <c r="AP69" i="26"/>
  <c r="J70" i="26"/>
  <c r="AP68" i="26"/>
  <c r="AP67" i="26"/>
  <c r="AP66" i="26"/>
  <c r="AP61" i="26"/>
  <c r="AP60" i="26"/>
  <c r="AP46" i="26"/>
  <c r="AP45" i="26"/>
  <c r="AP44" i="26"/>
  <c r="AP43" i="26"/>
  <c r="B66" i="26"/>
  <c r="AP42" i="26"/>
  <c r="AP41" i="26"/>
  <c r="AP39" i="26"/>
  <c r="AP38" i="26"/>
  <c r="AP37" i="26"/>
  <c r="P18" i="23"/>
  <c r="B46" i="26"/>
  <c r="AP36" i="26"/>
  <c r="AP35" i="26"/>
  <c r="AP34" i="26"/>
  <c r="P17" i="23"/>
  <c r="B56" i="26"/>
  <c r="AP33" i="26"/>
  <c r="AP32" i="26"/>
  <c r="AP31" i="26"/>
  <c r="AP30" i="26"/>
  <c r="AP29" i="26"/>
  <c r="AP28" i="26"/>
  <c r="B41" i="19"/>
  <c r="AP27" i="26"/>
  <c r="AP26" i="26"/>
  <c r="AP25" i="26"/>
  <c r="K25" i="26"/>
  <c r="AP24" i="26"/>
  <c r="AP23" i="26"/>
  <c r="AP22" i="26"/>
  <c r="AP21" i="26"/>
  <c r="B61" i="26"/>
  <c r="AP20" i="26"/>
  <c r="AP19" i="26"/>
  <c r="AP18" i="26"/>
  <c r="AP17" i="26"/>
  <c r="AP16" i="26"/>
  <c r="AP15" i="26"/>
  <c r="O15" i="26"/>
  <c r="N15" i="26"/>
  <c r="M15" i="26"/>
  <c r="AP14" i="26"/>
  <c r="AP13" i="26"/>
  <c r="AP12" i="26"/>
  <c r="AP11" i="26"/>
  <c r="AP8" i="26"/>
  <c r="AP7" i="26"/>
  <c r="O7" i="26"/>
  <c r="AP6" i="26"/>
  <c r="AP5" i="26"/>
  <c r="O5" i="26"/>
  <c r="AP4" i="26"/>
  <c r="AP3" i="26"/>
  <c r="AP2" i="26"/>
  <c r="AP1" i="26"/>
  <c r="P1" i="26"/>
  <c r="O7" i="8"/>
  <c r="O5" i="8"/>
  <c r="AP14" i="8"/>
  <c r="AP46" i="8"/>
  <c r="L31" i="8"/>
  <c r="L33" i="8"/>
  <c r="L34" i="8"/>
  <c r="L43" i="8"/>
  <c r="P31" i="8"/>
  <c r="P33" i="8"/>
  <c r="P34" i="8"/>
  <c r="P43" i="8"/>
  <c r="J31" i="8"/>
  <c r="J33" i="8"/>
  <c r="J34" i="8"/>
  <c r="J43" i="8"/>
  <c r="L55" i="8"/>
  <c r="K55" i="8"/>
  <c r="AP22" i="8"/>
  <c r="AP21" i="8"/>
  <c r="AP20" i="8"/>
  <c r="AP19" i="8"/>
  <c r="AP18" i="8"/>
  <c r="K36" i="8"/>
  <c r="N10" i="23"/>
  <c r="N18" i="23"/>
  <c r="P51" i="8"/>
  <c r="L11" i="23"/>
  <c r="K11" i="23"/>
  <c r="J11" i="23"/>
  <c r="L10" i="23"/>
  <c r="K10" i="23"/>
  <c r="J10" i="23"/>
  <c r="J14" i="23"/>
  <c r="K19" i="8"/>
  <c r="Q19" i="8"/>
  <c r="AO105" i="10"/>
  <c r="AP17" i="8"/>
  <c r="AP16" i="8"/>
  <c r="AP15" i="8"/>
  <c r="O15" i="8"/>
  <c r="N15" i="8"/>
  <c r="M15" i="8"/>
  <c r="M15" i="4"/>
  <c r="N15" i="4"/>
  <c r="O15" i="4"/>
  <c r="K35" i="4"/>
  <c r="P93" i="10"/>
  <c r="P92" i="10"/>
  <c r="P94" i="10"/>
  <c r="P15" i="9"/>
  <c r="AO94" i="10"/>
  <c r="AO98" i="10"/>
  <c r="Q95" i="10"/>
  <c r="AO97" i="10"/>
  <c r="AO96" i="10"/>
  <c r="AO95" i="10"/>
  <c r="P44" i="4"/>
  <c r="H6" i="19"/>
  <c r="O28" i="4"/>
  <c r="P28" i="4"/>
  <c r="AP123" i="4"/>
  <c r="AP122" i="4"/>
  <c r="AP121" i="4"/>
  <c r="AP120" i="4"/>
  <c r="AP119" i="4"/>
  <c r="AP118" i="4"/>
  <c r="AP117" i="4"/>
  <c r="AP116" i="4"/>
  <c r="AP109" i="4"/>
  <c r="AP108" i="4"/>
  <c r="AP107" i="4"/>
  <c r="AP106" i="4"/>
  <c r="AP105" i="4"/>
  <c r="AP104" i="4"/>
  <c r="AP103" i="4"/>
  <c r="AP102" i="4"/>
  <c r="AP101" i="4"/>
  <c r="AP100" i="4"/>
  <c r="AP99" i="4"/>
  <c r="AP98" i="4"/>
  <c r="B134" i="4"/>
  <c r="B111" i="4"/>
  <c r="AP97" i="4"/>
  <c r="AP96" i="4"/>
  <c r="AP95" i="4"/>
  <c r="AP94" i="4"/>
  <c r="AP93" i="4"/>
  <c r="AP92" i="4"/>
  <c r="AP91" i="4"/>
  <c r="AP90" i="4"/>
  <c r="AP89" i="4"/>
  <c r="B146" i="4"/>
  <c r="AP88" i="4"/>
  <c r="AP87" i="4"/>
  <c r="AP86" i="4"/>
  <c r="AP25" i="4"/>
  <c r="AP23" i="4"/>
  <c r="AP22" i="4"/>
  <c r="P23" i="23"/>
  <c r="P22" i="23"/>
  <c r="P21" i="23"/>
  <c r="P20" i="23"/>
  <c r="P19" i="23"/>
  <c r="B46" i="9"/>
  <c r="P16" i="23"/>
  <c r="P15" i="23"/>
  <c r="P14" i="23"/>
  <c r="I24" i="4"/>
  <c r="P13" i="23"/>
  <c r="P12" i="23"/>
  <c r="B48" i="9"/>
  <c r="P11" i="23"/>
  <c r="P10" i="23"/>
  <c r="P9" i="23"/>
  <c r="P8" i="23"/>
  <c r="P7" i="23"/>
  <c r="P6" i="23"/>
  <c r="P5" i="23"/>
  <c r="P4" i="23"/>
  <c r="P3" i="23"/>
  <c r="P2" i="23"/>
  <c r="P1" i="23"/>
  <c r="AO81" i="10"/>
  <c r="AO80" i="10"/>
  <c r="AO79" i="10"/>
  <c r="E97" i="10"/>
  <c r="AO78" i="10"/>
  <c r="J17" i="23"/>
  <c r="L20" i="23"/>
  <c r="K20" i="23"/>
  <c r="L19" i="23"/>
  <c r="K19" i="23"/>
  <c r="L18" i="23"/>
  <c r="K18" i="23"/>
  <c r="L17" i="23"/>
  <c r="K17" i="23"/>
  <c r="L14" i="23"/>
  <c r="K14" i="23"/>
  <c r="F18" i="23"/>
  <c r="J18" i="23"/>
  <c r="J1" i="23"/>
  <c r="AP32" i="4"/>
  <c r="P61" i="4"/>
  <c r="O61" i="4"/>
  <c r="N61" i="4"/>
  <c r="M61" i="4"/>
  <c r="AP51" i="4"/>
  <c r="AP50" i="4"/>
  <c r="AP47" i="4"/>
  <c r="AP26" i="4"/>
  <c r="B164" i="4"/>
  <c r="AP24" i="4"/>
  <c r="I26" i="4"/>
  <c r="AP21" i="4"/>
  <c r="AP20" i="4"/>
  <c r="AP19" i="4"/>
  <c r="AP18" i="4"/>
  <c r="AP17" i="4"/>
  <c r="J44" i="4"/>
  <c r="N39" i="3"/>
  <c r="K1" i="20"/>
  <c r="P39" i="20"/>
  <c r="H4" i="20"/>
  <c r="P4" i="20"/>
  <c r="P5" i="20"/>
  <c r="P6" i="20"/>
  <c r="P7" i="20"/>
  <c r="P8" i="20"/>
  <c r="P9" i="20"/>
  <c r="P10" i="20"/>
  <c r="P11" i="20"/>
  <c r="P12" i="20"/>
  <c r="P13" i="20"/>
  <c r="P14" i="20"/>
  <c r="G15" i="20"/>
  <c r="P15" i="20"/>
  <c r="G16" i="20"/>
  <c r="H16" i="20"/>
  <c r="I16" i="20"/>
  <c r="P16" i="20"/>
  <c r="P17" i="20"/>
  <c r="P18" i="20"/>
  <c r="P19" i="20"/>
  <c r="P20" i="20"/>
  <c r="P21" i="20"/>
  <c r="P22" i="20"/>
  <c r="P23" i="20"/>
  <c r="P24" i="20"/>
  <c r="P25" i="20"/>
  <c r="I28" i="20"/>
  <c r="P26" i="20"/>
  <c r="G27" i="20"/>
  <c r="H27" i="20"/>
  <c r="I27" i="20"/>
  <c r="P27" i="20"/>
  <c r="G28" i="20"/>
  <c r="H28" i="20"/>
  <c r="P28" i="20"/>
  <c r="G29" i="20"/>
  <c r="H29" i="20"/>
  <c r="P29" i="20"/>
  <c r="G30" i="20"/>
  <c r="H30" i="20"/>
  <c r="I30" i="20"/>
  <c r="P30" i="20"/>
  <c r="G31" i="20"/>
  <c r="H31" i="20"/>
  <c r="I31" i="20"/>
  <c r="P31" i="20"/>
  <c r="P32" i="20"/>
  <c r="P33" i="20"/>
  <c r="P34" i="20"/>
  <c r="G35" i="20"/>
  <c r="P35" i="20"/>
  <c r="P36" i="20"/>
  <c r="P37" i="20"/>
  <c r="P38" i="20"/>
  <c r="P40" i="20"/>
  <c r="G41" i="20"/>
  <c r="G42" i="20"/>
  <c r="P41" i="20"/>
  <c r="I42" i="20"/>
  <c r="P42" i="20"/>
  <c r="P43" i="20"/>
  <c r="G44" i="20"/>
  <c r="P44" i="20"/>
  <c r="G45" i="20"/>
  <c r="P45" i="20"/>
  <c r="K1" i="15"/>
  <c r="G23" i="15"/>
  <c r="G25" i="15"/>
  <c r="J1" i="21"/>
  <c r="I31" i="21"/>
  <c r="G32" i="21"/>
  <c r="H32" i="21"/>
  <c r="I32" i="21"/>
  <c r="J32" i="21"/>
  <c r="G33" i="21"/>
  <c r="H33" i="21"/>
  <c r="I33" i="21"/>
  <c r="J33" i="21"/>
  <c r="G34" i="21"/>
  <c r="H34" i="21"/>
  <c r="I34" i="21"/>
  <c r="J34" i="21"/>
  <c r="G35" i="21"/>
  <c r="H35" i="21"/>
  <c r="I35" i="21"/>
  <c r="J35" i="21"/>
  <c r="G36" i="21"/>
  <c r="H36" i="21"/>
  <c r="I36" i="21"/>
  <c r="J36" i="21"/>
  <c r="G37" i="21"/>
  <c r="H37" i="21"/>
  <c r="I37" i="21"/>
  <c r="J37" i="21"/>
  <c r="G38" i="21"/>
  <c r="H38" i="21"/>
  <c r="I38" i="21"/>
  <c r="J38" i="21"/>
  <c r="G39" i="21"/>
  <c r="H39" i="21"/>
  <c r="I39" i="21"/>
  <c r="J39" i="21"/>
  <c r="G40" i="21"/>
  <c r="H40" i="21"/>
  <c r="I40" i="21"/>
  <c r="J40" i="21"/>
  <c r="G41" i="21"/>
  <c r="H41" i="21"/>
  <c r="I41" i="21"/>
  <c r="J41" i="21"/>
  <c r="G42" i="21"/>
  <c r="H42" i="21"/>
  <c r="I42" i="21"/>
  <c r="J42" i="21"/>
  <c r="G43" i="21"/>
  <c r="H43" i="21"/>
  <c r="I43" i="21"/>
  <c r="J43" i="21"/>
  <c r="G44" i="21"/>
  <c r="H44" i="21"/>
  <c r="I44" i="21"/>
  <c r="J44" i="21"/>
  <c r="G45" i="21"/>
  <c r="H45" i="21"/>
  <c r="I45" i="21"/>
  <c r="J45" i="21"/>
  <c r="G46" i="21"/>
  <c r="H46" i="21"/>
  <c r="I46" i="21"/>
  <c r="J46" i="21"/>
  <c r="G47" i="21"/>
  <c r="H47" i="21"/>
  <c r="I47" i="21"/>
  <c r="J47" i="21"/>
  <c r="G48" i="21"/>
  <c r="H48" i="21"/>
  <c r="I48" i="21"/>
  <c r="J48" i="21"/>
  <c r="G49" i="21"/>
  <c r="H49" i="21"/>
  <c r="I49" i="21"/>
  <c r="J49" i="21"/>
  <c r="G50" i="21"/>
  <c r="H50" i="21"/>
  <c r="I50" i="21"/>
  <c r="J50" i="21"/>
  <c r="G51" i="21"/>
  <c r="H51" i="21"/>
  <c r="I51" i="21"/>
  <c r="J51" i="21"/>
  <c r="G52" i="21"/>
  <c r="H52" i="21"/>
  <c r="I52" i="21"/>
  <c r="J52" i="21"/>
  <c r="G53" i="21"/>
  <c r="H53" i="21"/>
  <c r="I53" i="21"/>
  <c r="J53" i="21"/>
  <c r="G54" i="21"/>
  <c r="H54" i="21"/>
  <c r="I54" i="21"/>
  <c r="J54" i="21"/>
  <c r="G55" i="21"/>
  <c r="H55" i="21"/>
  <c r="I55" i="21"/>
  <c r="J55" i="21"/>
  <c r="G56" i="21"/>
  <c r="H56" i="21"/>
  <c r="I56" i="21"/>
  <c r="J56" i="21"/>
  <c r="G57" i="21"/>
  <c r="H57" i="21"/>
  <c r="I57" i="21"/>
  <c r="J57" i="21"/>
  <c r="G58" i="21"/>
  <c r="H58" i="21"/>
  <c r="I58" i="21"/>
  <c r="J58" i="21"/>
  <c r="G59" i="21"/>
  <c r="H59" i="21"/>
  <c r="I59" i="21"/>
  <c r="J59" i="21"/>
  <c r="G60" i="21"/>
  <c r="H60" i="21"/>
  <c r="I60" i="21"/>
  <c r="J60" i="21"/>
  <c r="G61" i="21"/>
  <c r="H61" i="21"/>
  <c r="I61" i="21"/>
  <c r="J61" i="21"/>
  <c r="G62" i="21"/>
  <c r="H62" i="21"/>
  <c r="I62" i="21"/>
  <c r="J62" i="21"/>
  <c r="G63" i="21"/>
  <c r="H63" i="21"/>
  <c r="I63" i="21"/>
  <c r="J63" i="21"/>
  <c r="G64" i="21"/>
  <c r="H64" i="21"/>
  <c r="I64" i="21"/>
  <c r="J64" i="21"/>
  <c r="G65" i="21"/>
  <c r="H65" i="21"/>
  <c r="I65" i="21"/>
  <c r="J65" i="21"/>
  <c r="G66" i="21"/>
  <c r="H66" i="21"/>
  <c r="I66" i="21"/>
  <c r="J66" i="21"/>
  <c r="G67" i="21"/>
  <c r="H67" i="21"/>
  <c r="I67" i="21"/>
  <c r="J67" i="21"/>
  <c r="G68" i="21"/>
  <c r="H68" i="21"/>
  <c r="I68" i="21"/>
  <c r="J68" i="21"/>
  <c r="G69" i="21"/>
  <c r="H69" i="21"/>
  <c r="I69" i="21"/>
  <c r="J69" i="21"/>
  <c r="G70" i="21"/>
  <c r="H70" i="21"/>
  <c r="I70" i="21"/>
  <c r="J70" i="21"/>
  <c r="L1" i="16"/>
  <c r="G15" i="16"/>
  <c r="H15" i="16"/>
  <c r="O15" i="16"/>
  <c r="P15" i="16"/>
  <c r="H16" i="16"/>
  <c r="I16" i="16"/>
  <c r="O16" i="16"/>
  <c r="P16" i="16"/>
  <c r="I17" i="16"/>
  <c r="F40" i="16"/>
  <c r="J17" i="16"/>
  <c r="K17" i="16"/>
  <c r="L17" i="16"/>
  <c r="O17" i="16"/>
  <c r="P17" i="16"/>
  <c r="I18" i="16"/>
  <c r="O18" i="16"/>
  <c r="P18" i="16"/>
  <c r="I19" i="16"/>
  <c r="J19" i="16"/>
  <c r="K19" i="16"/>
  <c r="L19" i="16"/>
  <c r="O19" i="16"/>
  <c r="P19" i="16"/>
  <c r="I20" i="16"/>
  <c r="O20" i="16"/>
  <c r="P20" i="16"/>
  <c r="I21" i="16"/>
  <c r="J21" i="16"/>
  <c r="K21" i="16"/>
  <c r="L21" i="16"/>
  <c r="O21" i="16"/>
  <c r="P21" i="16"/>
  <c r="I22" i="16"/>
  <c r="O22" i="16"/>
  <c r="P22" i="16"/>
  <c r="O24" i="16"/>
  <c r="P24" i="16"/>
  <c r="O25" i="16"/>
  <c r="P25" i="16"/>
  <c r="O26" i="16"/>
  <c r="P26" i="16"/>
  <c r="O27" i="16"/>
  <c r="P27" i="16"/>
  <c r="O28" i="16"/>
  <c r="P28" i="16"/>
  <c r="F29" i="16"/>
  <c r="G29" i="16"/>
  <c r="G30" i="16"/>
  <c r="O30" i="16"/>
  <c r="P30" i="16"/>
  <c r="F33" i="16"/>
  <c r="F23" i="16"/>
  <c r="F35" i="16"/>
  <c r="J20" i="16"/>
  <c r="J18" i="16"/>
  <c r="K18" i="16"/>
  <c r="L18" i="16"/>
  <c r="J40" i="16"/>
  <c r="N1" i="3"/>
  <c r="Q1" i="3"/>
  <c r="G19" i="3"/>
  <c r="H19" i="3"/>
  <c r="I19" i="3"/>
  <c r="J19" i="3"/>
  <c r="K19" i="3"/>
  <c r="L19" i="3"/>
  <c r="G21" i="3"/>
  <c r="H21" i="3"/>
  <c r="I21" i="3"/>
  <c r="I74" i="3"/>
  <c r="I81" i="3"/>
  <c r="I78" i="3"/>
  <c r="I84" i="3"/>
  <c r="K41" i="29"/>
  <c r="J21" i="3"/>
  <c r="K21" i="3"/>
  <c r="M15" i="16"/>
  <c r="L21" i="3"/>
  <c r="G27" i="3"/>
  <c r="M29" i="3"/>
  <c r="H27" i="3"/>
  <c r="I27" i="3"/>
  <c r="J27" i="3"/>
  <c r="J28" i="3"/>
  <c r="K27" i="3"/>
  <c r="K28" i="3"/>
  <c r="L27" i="3"/>
  <c r="G31" i="3"/>
  <c r="H31" i="3"/>
  <c r="H33" i="3"/>
  <c r="I31" i="3"/>
  <c r="I32" i="3"/>
  <c r="J31" i="3"/>
  <c r="K31" i="3"/>
  <c r="L31" i="3"/>
  <c r="G35" i="3"/>
  <c r="H35" i="3"/>
  <c r="I35" i="3"/>
  <c r="J35" i="3"/>
  <c r="J36" i="3"/>
  <c r="K35" i="3"/>
  <c r="L35" i="3"/>
  <c r="G74" i="3"/>
  <c r="G81" i="3"/>
  <c r="G78" i="3"/>
  <c r="G84" i="3"/>
  <c r="I41" i="29"/>
  <c r="J74" i="3"/>
  <c r="J81" i="3"/>
  <c r="J78" i="3"/>
  <c r="J84" i="3"/>
  <c r="L41" i="29"/>
  <c r="K74" i="3"/>
  <c r="K81" i="3"/>
  <c r="K78" i="3"/>
  <c r="L31" i="13"/>
  <c r="L33" i="13"/>
  <c r="L34" i="13"/>
  <c r="L43" i="13"/>
  <c r="AP1" i="22"/>
  <c r="L1" i="22"/>
  <c r="AP2" i="22"/>
  <c r="AP8" i="22"/>
  <c r="AP9" i="22"/>
  <c r="AP10" i="22"/>
  <c r="AP11" i="22"/>
  <c r="AP12" i="22"/>
  <c r="AP13" i="22"/>
  <c r="AP14" i="22"/>
  <c r="AP15" i="22"/>
  <c r="AP16" i="22"/>
  <c r="AP17" i="22"/>
  <c r="AP18" i="22"/>
  <c r="AP19" i="22"/>
  <c r="AP20" i="22"/>
  <c r="AP21" i="22"/>
  <c r="AP22" i="22"/>
  <c r="AP23" i="22"/>
  <c r="AP24" i="22"/>
  <c r="AP25" i="22"/>
  <c r="AP26" i="22"/>
  <c r="AP27" i="22"/>
  <c r="AP28" i="22"/>
  <c r="AP29" i="22"/>
  <c r="AP30" i="22"/>
  <c r="AP31" i="22"/>
  <c r="AP32" i="22"/>
  <c r="AP33" i="22"/>
  <c r="AP34" i="22"/>
  <c r="AP35" i="22"/>
  <c r="AP36" i="22"/>
  <c r="AP37" i="22"/>
  <c r="AP38" i="22"/>
  <c r="I39" i="22"/>
  <c r="I58" i="22"/>
  <c r="J39" i="22"/>
  <c r="J58" i="22"/>
  <c r="K39" i="22"/>
  <c r="K58" i="22"/>
  <c r="L39" i="22"/>
  <c r="L58" i="22"/>
  <c r="M39" i="22"/>
  <c r="M58" i="22"/>
  <c r="N39" i="22"/>
  <c r="N58" i="22"/>
  <c r="O39" i="22"/>
  <c r="O58" i="22"/>
  <c r="AP39" i="22"/>
  <c r="AP40" i="22"/>
  <c r="AP41" i="22"/>
  <c r="AP43" i="22"/>
  <c r="AP44" i="22"/>
  <c r="AP45" i="22"/>
  <c r="AP46" i="22"/>
  <c r="AP47" i="22"/>
  <c r="AP48" i="22"/>
  <c r="AP49" i="22"/>
  <c r="AP50" i="22"/>
  <c r="B42" i="22"/>
  <c r="AP51" i="22"/>
  <c r="AP52" i="22"/>
  <c r="B44" i="22"/>
  <c r="AP53" i="22"/>
  <c r="AP54" i="22"/>
  <c r="AP56" i="22"/>
  <c r="AP57" i="22"/>
  <c r="AP58" i="22"/>
  <c r="AP59" i="22"/>
  <c r="AP60" i="22"/>
  <c r="AP61" i="22"/>
  <c r="AP62" i="22"/>
  <c r="AP63" i="22"/>
  <c r="AP64" i="22"/>
  <c r="AP65" i="22"/>
  <c r="AP67" i="22"/>
  <c r="AP68" i="22"/>
  <c r="AP69" i="22"/>
  <c r="AP70" i="22"/>
  <c r="AP71" i="22"/>
  <c r="AP72" i="22"/>
  <c r="AP73" i="22"/>
  <c r="AP75" i="22"/>
  <c r="AP74" i="22"/>
  <c r="AP77" i="22"/>
  <c r="AP78" i="22"/>
  <c r="AP79" i="22"/>
  <c r="AP80" i="22"/>
  <c r="AP81" i="22"/>
  <c r="AP82" i="22"/>
  <c r="AP83" i="22"/>
  <c r="AP84" i="22"/>
  <c r="AP85" i="22"/>
  <c r="AP86" i="22"/>
  <c r="AP87" i="22"/>
  <c r="AP88" i="22"/>
  <c r="AP89" i="22"/>
  <c r="AP90" i="22"/>
  <c r="AP91" i="22"/>
  <c r="AP92" i="22"/>
  <c r="AP93" i="22"/>
  <c r="AP94" i="22"/>
  <c r="AP95" i="22"/>
  <c r="AP96" i="22"/>
  <c r="AP97" i="22"/>
  <c r="AP98" i="22"/>
  <c r="AP99" i="22"/>
  <c r="AP100" i="22"/>
  <c r="AP101" i="22"/>
  <c r="AP102" i="22"/>
  <c r="AP103" i="22"/>
  <c r="AP104" i="22"/>
  <c r="AP105" i="22"/>
  <c r="AP106" i="22"/>
  <c r="AP107" i="22"/>
  <c r="AP108" i="22"/>
  <c r="AP109" i="22"/>
  <c r="AP110" i="22"/>
  <c r="AP111" i="22"/>
  <c r="AP112" i="22"/>
  <c r="AP113" i="22"/>
  <c r="AP114" i="22"/>
  <c r="AP115" i="22"/>
  <c r="AP116" i="22"/>
  <c r="AP117" i="22"/>
  <c r="AP118" i="22"/>
  <c r="AP119" i="22"/>
  <c r="AP120" i="22"/>
  <c r="AP121" i="22"/>
  <c r="AP122" i="22"/>
  <c r="AP123" i="22"/>
  <c r="AP124" i="22"/>
  <c r="AP125" i="22"/>
  <c r="AP126" i="22"/>
  <c r="AP127" i="22"/>
  <c r="AP128" i="22"/>
  <c r="AP129" i="22"/>
  <c r="AP130" i="22"/>
  <c r="AP131" i="22"/>
  <c r="AP132" i="22"/>
  <c r="AP133" i="22"/>
  <c r="AP134" i="22"/>
  <c r="AP135" i="22"/>
  <c r="AP136" i="22"/>
  <c r="AP137" i="22"/>
  <c r="AP138" i="22"/>
  <c r="AP139" i="22"/>
  <c r="AP140" i="22"/>
  <c r="AP141" i="22"/>
  <c r="AP142" i="22"/>
  <c r="AP143" i="22"/>
  <c r="AP144" i="22"/>
  <c r="AP145" i="22"/>
  <c r="L1" i="11"/>
  <c r="P1" i="9"/>
  <c r="AP1" i="9"/>
  <c r="AP2" i="9"/>
  <c r="AP9" i="9"/>
  <c r="AP10" i="9"/>
  <c r="AP11" i="9"/>
  <c r="AP12" i="9"/>
  <c r="AP13" i="9"/>
  <c r="AP14" i="9"/>
  <c r="AP19" i="9"/>
  <c r="AP20" i="9"/>
  <c r="AP21" i="9"/>
  <c r="AP22" i="9"/>
  <c r="AP23" i="9"/>
  <c r="AP24" i="9"/>
  <c r="AP60" i="9"/>
  <c r="AP62" i="9"/>
  <c r="AP64" i="9"/>
  <c r="AP67" i="9"/>
  <c r="B74" i="9"/>
  <c r="AP68" i="9"/>
  <c r="AP69" i="9"/>
  <c r="P70" i="9"/>
  <c r="AP70" i="9"/>
  <c r="P71" i="9"/>
  <c r="AP73" i="9"/>
  <c r="AP80" i="9"/>
  <c r="J81" i="9"/>
  <c r="AP74" i="9"/>
  <c r="K76" i="9"/>
  <c r="L76" i="9"/>
  <c r="M76" i="9"/>
  <c r="N76" i="9"/>
  <c r="O76" i="9"/>
  <c r="AP76" i="9"/>
  <c r="AP79" i="9"/>
  <c r="AP81" i="9"/>
  <c r="J83" i="9"/>
  <c r="AP82" i="9"/>
  <c r="AP83" i="9"/>
  <c r="AP84" i="9"/>
  <c r="H86" i="9"/>
  <c r="AP86" i="9"/>
  <c r="AP87" i="9"/>
  <c r="AP88" i="9"/>
  <c r="AP89" i="9"/>
  <c r="AP90" i="9"/>
  <c r="AP91" i="9"/>
  <c r="AP92" i="9"/>
  <c r="P1" i="13"/>
  <c r="AP1" i="13"/>
  <c r="AP2" i="13"/>
  <c r="AP3" i="13"/>
  <c r="AP4" i="13"/>
  <c r="AP5" i="13"/>
  <c r="AP6" i="13"/>
  <c r="AP7" i="13"/>
  <c r="AP8" i="13"/>
  <c r="AP24" i="13"/>
  <c r="K25" i="13"/>
  <c r="AP25" i="13"/>
  <c r="AP26" i="13"/>
  <c r="AP27" i="13"/>
  <c r="AP28" i="13"/>
  <c r="B59" i="13"/>
  <c r="AP29" i="13"/>
  <c r="AP31" i="13"/>
  <c r="AP33" i="13"/>
  <c r="AP34" i="13"/>
  <c r="B44" i="13"/>
  <c r="AP35" i="13"/>
  <c r="AP36" i="13"/>
  <c r="AP37" i="13"/>
  <c r="AP39" i="13"/>
  <c r="AP40" i="13"/>
  <c r="AP41" i="13"/>
  <c r="B48" i="13"/>
  <c r="AP42" i="13"/>
  <c r="AP43" i="13"/>
  <c r="AP44" i="13"/>
  <c r="AP45" i="13"/>
  <c r="B66" i="13"/>
  <c r="AP46" i="13"/>
  <c r="AP67" i="13"/>
  <c r="AP68" i="13"/>
  <c r="J69" i="13"/>
  <c r="AP69" i="13"/>
  <c r="J71" i="13"/>
  <c r="AP70" i="13"/>
  <c r="AP71" i="13"/>
  <c r="AP72" i="13"/>
  <c r="AP73" i="13"/>
  <c r="AP74" i="13"/>
  <c r="AP75" i="13"/>
  <c r="AP76" i="13"/>
  <c r="AP77" i="13"/>
  <c r="AP78" i="13"/>
  <c r="AP79" i="13"/>
  <c r="AP80" i="13"/>
  <c r="AP81" i="13"/>
  <c r="AP82" i="13"/>
  <c r="AP83" i="13"/>
  <c r="AP84" i="13"/>
  <c r="AP85" i="13"/>
  <c r="AP86" i="13"/>
  <c r="AP87" i="13"/>
  <c r="AP88" i="13"/>
  <c r="AP89" i="13"/>
  <c r="AP90" i="13"/>
  <c r="AP91" i="13"/>
  <c r="AP92" i="13"/>
  <c r="AP93" i="13"/>
  <c r="AP94" i="13"/>
  <c r="AP95" i="13"/>
  <c r="AP96" i="13"/>
  <c r="B108" i="13"/>
  <c r="AP97" i="13"/>
  <c r="AP98" i="13"/>
  <c r="AP99" i="13"/>
  <c r="AP100" i="13"/>
  <c r="AP101" i="13"/>
  <c r="AP102" i="13"/>
  <c r="AP103" i="13"/>
  <c r="AP104" i="13"/>
  <c r="AP105" i="13"/>
  <c r="B111" i="13"/>
  <c r="P1" i="8"/>
  <c r="AP1" i="8"/>
  <c r="AP2" i="8"/>
  <c r="AP3" i="8"/>
  <c r="AP4" i="8"/>
  <c r="AP5" i="8"/>
  <c r="AP6" i="8"/>
  <c r="AP7" i="8"/>
  <c r="AP8" i="8"/>
  <c r="AP11" i="8"/>
  <c r="AP12" i="8"/>
  <c r="AP13" i="8"/>
  <c r="AP23" i="8"/>
  <c r="AP24" i="8"/>
  <c r="K25" i="8"/>
  <c r="AP25" i="8"/>
  <c r="AP26" i="8"/>
  <c r="AP27" i="8"/>
  <c r="AP28" i="8"/>
  <c r="B38" i="34"/>
  <c r="AP29" i="8"/>
  <c r="AP30" i="8"/>
  <c r="I31" i="8"/>
  <c r="I33" i="8"/>
  <c r="I34" i="8"/>
  <c r="I43" i="8"/>
  <c r="K31" i="8"/>
  <c r="K33" i="8"/>
  <c r="K34" i="8"/>
  <c r="K43" i="8"/>
  <c r="M31" i="8"/>
  <c r="M33" i="8"/>
  <c r="M34" i="8"/>
  <c r="M43" i="8"/>
  <c r="N31" i="8"/>
  <c r="N33" i="8"/>
  <c r="N34" i="8"/>
  <c r="N43" i="8"/>
  <c r="O31" i="8"/>
  <c r="O33" i="8"/>
  <c r="O34" i="8"/>
  <c r="O43" i="8"/>
  <c r="AP31" i="8"/>
  <c r="AP32" i="8"/>
  <c r="AP33" i="8"/>
  <c r="AP34" i="8"/>
  <c r="B44" i="8"/>
  <c r="AP35" i="8"/>
  <c r="AP36" i="8"/>
  <c r="AP37" i="8"/>
  <c r="AP39" i="8"/>
  <c r="B42" i="8"/>
  <c r="AP40" i="8"/>
  <c r="K41" i="8"/>
  <c r="AP41" i="8"/>
  <c r="B149" i="34"/>
  <c r="AP42" i="8"/>
  <c r="AP43" i="8"/>
  <c r="AP59" i="8"/>
  <c r="J63" i="8"/>
  <c r="AP44" i="8"/>
  <c r="AP45" i="8"/>
  <c r="AP47" i="8"/>
  <c r="B61" i="8"/>
  <c r="AP48" i="8"/>
  <c r="B46" i="13"/>
  <c r="AP49" i="8"/>
  <c r="B56" i="8"/>
  <c r="AP50" i="8"/>
  <c r="AP55" i="8"/>
  <c r="B58" i="8"/>
  <c r="AP57" i="8"/>
  <c r="L59" i="8"/>
  <c r="AP60" i="8"/>
  <c r="AP61" i="8"/>
  <c r="AP62" i="8"/>
  <c r="AP63" i="8"/>
  <c r="J64" i="8"/>
  <c r="AP64" i="8"/>
  <c r="AP65" i="8"/>
  <c r="AP66" i="8"/>
  <c r="AP67" i="8"/>
  <c r="J68" i="8"/>
  <c r="AP68" i="8"/>
  <c r="AP69" i="8"/>
  <c r="AP70" i="8"/>
  <c r="I71" i="8"/>
  <c r="AP71" i="8"/>
  <c r="AP72" i="8"/>
  <c r="AP73" i="8"/>
  <c r="AP74" i="8"/>
  <c r="AP75" i="8"/>
  <c r="AP76" i="8"/>
  <c r="AP77" i="8"/>
  <c r="AP78" i="8"/>
  <c r="AP79" i="8"/>
  <c r="AP80" i="8"/>
  <c r="AP81" i="8"/>
  <c r="AP82" i="8"/>
  <c r="AP83" i="8"/>
  <c r="AP84" i="8"/>
  <c r="AP85" i="8"/>
  <c r="AP86" i="8"/>
  <c r="AP87" i="8"/>
  <c r="AP88" i="8"/>
  <c r="AP89" i="8"/>
  <c r="AP90" i="8"/>
  <c r="AP91" i="8"/>
  <c r="B103" i="8"/>
  <c r="AP92" i="8"/>
  <c r="AP93" i="8"/>
  <c r="AP94" i="8"/>
  <c r="AP95" i="8"/>
  <c r="AP96" i="8"/>
  <c r="AP97" i="8"/>
  <c r="AP98" i="8"/>
  <c r="AP99" i="8"/>
  <c r="AP100" i="8"/>
  <c r="P1" i="4"/>
  <c r="AP1" i="4"/>
  <c r="AP2" i="4"/>
  <c r="AP3" i="4"/>
  <c r="AP5" i="4"/>
  <c r="AP6" i="4"/>
  <c r="AP7" i="4"/>
  <c r="AP13" i="4"/>
  <c r="AP14" i="4"/>
  <c r="AP15" i="4"/>
  <c r="AP16" i="4"/>
  <c r="AP61" i="4"/>
  <c r="AP62" i="4"/>
  <c r="I28" i="4"/>
  <c r="J28" i="4"/>
  <c r="K28" i="4"/>
  <c r="L28" i="4"/>
  <c r="M28" i="4"/>
  <c r="G12" i="20"/>
  <c r="AP28" i="4"/>
  <c r="B148" i="4"/>
  <c r="AP29" i="4"/>
  <c r="AP30" i="4"/>
  <c r="J120" i="4"/>
  <c r="L121" i="4"/>
  <c r="J121" i="4"/>
  <c r="J122" i="4"/>
  <c r="B52" i="4"/>
  <c r="AP33" i="4"/>
  <c r="B38" i="4"/>
  <c r="AP36" i="4"/>
  <c r="B50" i="4"/>
  <c r="AP41" i="4"/>
  <c r="AP55" i="4"/>
  <c r="B56" i="4"/>
  <c r="AP42" i="4"/>
  <c r="AP43" i="4"/>
  <c r="I44" i="4"/>
  <c r="I43" i="4"/>
  <c r="M44" i="4"/>
  <c r="AP44" i="4"/>
  <c r="AP45" i="4"/>
  <c r="AP46" i="4"/>
  <c r="AP74" i="4"/>
  <c r="J75" i="4"/>
  <c r="AP49" i="4"/>
  <c r="AP52" i="4"/>
  <c r="AP53" i="4"/>
  <c r="AP54" i="4"/>
  <c r="AP56" i="4"/>
  <c r="AP57" i="4"/>
  <c r="AP58" i="4"/>
  <c r="L60" i="4"/>
  <c r="AP60" i="4"/>
  <c r="O16" i="19"/>
  <c r="J68" i="4"/>
  <c r="AP66" i="4"/>
  <c r="AP71" i="4"/>
  <c r="J72" i="4"/>
  <c r="AP72" i="4"/>
  <c r="AP73" i="4"/>
  <c r="J74" i="4"/>
  <c r="AP75" i="4"/>
  <c r="AP76" i="4"/>
  <c r="AP77" i="4"/>
  <c r="AP78" i="4"/>
  <c r="AP63" i="4"/>
  <c r="H79" i="4"/>
  <c r="AP79" i="4"/>
  <c r="AP80" i="4"/>
  <c r="AP81" i="4"/>
  <c r="AP82" i="4"/>
  <c r="AP83" i="4"/>
  <c r="AP84" i="4"/>
  <c r="AP85" i="4"/>
  <c r="K1" i="19"/>
  <c r="O1" i="19"/>
  <c r="O2" i="19"/>
  <c r="O3" i="19"/>
  <c r="O12" i="19"/>
  <c r="O13" i="19"/>
  <c r="B26" i="19"/>
  <c r="O14" i="19"/>
  <c r="O15" i="19"/>
  <c r="O17" i="19"/>
  <c r="O18" i="19"/>
  <c r="O19" i="19"/>
  <c r="H7" i="19"/>
  <c r="G9" i="19"/>
  <c r="H76" i="13"/>
  <c r="H10" i="19"/>
  <c r="AO1" i="10"/>
  <c r="AO2" i="10"/>
  <c r="AO17" i="10"/>
  <c r="AO21" i="10"/>
  <c r="AO25" i="10"/>
  <c r="AO26" i="10"/>
  <c r="AO28" i="10"/>
  <c r="AO29" i="10"/>
  <c r="AO37" i="10"/>
  <c r="AO39" i="10"/>
  <c r="AO40" i="10"/>
  <c r="AO41" i="10"/>
  <c r="AO42" i="10"/>
  <c r="AO43" i="10"/>
  <c r="AO44" i="10"/>
  <c r="AO45" i="10"/>
  <c r="AO46" i="10"/>
  <c r="AO47" i="10"/>
  <c r="AO48" i="10"/>
  <c r="AO49" i="10"/>
  <c r="AO50" i="10"/>
  <c r="AO51" i="10"/>
  <c r="AO52" i="10"/>
  <c r="AO53" i="10"/>
  <c r="AO54" i="10"/>
  <c r="AO55" i="10"/>
  <c r="AO56" i="10"/>
  <c r="AO57" i="10"/>
  <c r="AO58" i="10"/>
  <c r="AO59" i="10"/>
  <c r="AO60" i="10"/>
  <c r="AO61" i="10"/>
  <c r="AO62" i="10"/>
  <c r="AO63" i="10"/>
  <c r="AO64" i="10"/>
  <c r="AO65" i="10"/>
  <c r="AO66" i="10"/>
  <c r="AO68" i="10"/>
  <c r="AO69" i="10"/>
  <c r="L73" i="10"/>
  <c r="AO70" i="10"/>
  <c r="AO71" i="10"/>
  <c r="AO72" i="10"/>
  <c r="AO73" i="10"/>
  <c r="AO74" i="10"/>
  <c r="AO75" i="10"/>
  <c r="AO76" i="10"/>
  <c r="AO77" i="10"/>
  <c r="AO83" i="10"/>
  <c r="AO84" i="10"/>
  <c r="AO85" i="10"/>
  <c r="AO86" i="10"/>
  <c r="AO87" i="10"/>
  <c r="AO88" i="10"/>
  <c r="AO89" i="10"/>
  <c r="AO90" i="10"/>
  <c r="AO91" i="10"/>
  <c r="AO92" i="10"/>
  <c r="AO93" i="10"/>
  <c r="AO99" i="10"/>
  <c r="AO100" i="10"/>
  <c r="AO101" i="10"/>
  <c r="AO102" i="10"/>
  <c r="AO103" i="10"/>
  <c r="AO104" i="10"/>
  <c r="AO108" i="10"/>
  <c r="AO109" i="10"/>
  <c r="AO110" i="10"/>
  <c r="AO111" i="10"/>
  <c r="AO112" i="10"/>
  <c r="AO113" i="10"/>
  <c r="AO114" i="10"/>
  <c r="AO115" i="10"/>
  <c r="AO118" i="10"/>
  <c r="AO119" i="10"/>
  <c r="AO120" i="10"/>
  <c r="AO121" i="10"/>
  <c r="AO122" i="10"/>
  <c r="AO123" i="10"/>
  <c r="AO124" i="10"/>
  <c r="AO126" i="10"/>
  <c r="AO128" i="10"/>
  <c r="AO129" i="10"/>
  <c r="AO130" i="10"/>
  <c r="AO131" i="10"/>
  <c r="AO132" i="10"/>
  <c r="AO133" i="10"/>
  <c r="AO135" i="10"/>
  <c r="AO136" i="10"/>
  <c r="AO138" i="10"/>
  <c r="AO139" i="10"/>
  <c r="AO140" i="10"/>
  <c r="AO141" i="10"/>
  <c r="AO142" i="10"/>
  <c r="AO144" i="10"/>
  <c r="AO148" i="10"/>
  <c r="AO150" i="10"/>
  <c r="AO151" i="10"/>
  <c r="AO158" i="10"/>
  <c r="AO163" i="10"/>
  <c r="AO166" i="10"/>
  <c r="AO167" i="10"/>
  <c r="AO168" i="10"/>
  <c r="AO169" i="10"/>
  <c r="AO170" i="10"/>
  <c r="AO172" i="10"/>
  <c r="AO198" i="10"/>
  <c r="AO199" i="10"/>
  <c r="AO200" i="10"/>
  <c r="B8" i="30"/>
  <c r="AO201" i="10"/>
  <c r="AO204" i="10"/>
  <c r="AO203" i="10"/>
  <c r="AO206" i="10"/>
  <c r="AO207" i="10"/>
  <c r="AO208" i="10"/>
  <c r="AO202" i="10"/>
  <c r="AO212" i="10"/>
  <c r="AO213" i="10"/>
  <c r="AO214" i="10"/>
  <c r="AO215" i="10"/>
  <c r="AO216" i="10"/>
  <c r="AO217" i="10"/>
  <c r="AO218" i="10"/>
  <c r="AO219" i="10"/>
  <c r="AO174" i="10"/>
  <c r="AO175" i="10"/>
  <c r="AO176" i="10"/>
  <c r="AO177" i="10"/>
  <c r="AO178" i="10"/>
  <c r="AO179" i="10"/>
  <c r="AO180" i="10"/>
  <c r="AO181" i="10"/>
  <c r="AO182" i="10"/>
  <c r="AO184" i="10"/>
  <c r="AO183" i="10"/>
  <c r="AO186" i="10"/>
  <c r="AO187" i="10"/>
  <c r="AO188" i="10"/>
  <c r="AO189" i="10"/>
  <c r="AO190" i="10"/>
  <c r="AO191" i="10"/>
  <c r="AO192" i="10"/>
  <c r="AO194" i="10"/>
  <c r="O44" i="4"/>
  <c r="B21" i="3"/>
  <c r="L84" i="3"/>
  <c r="N41" i="29"/>
  <c r="M33" i="13"/>
  <c r="M34" i="13"/>
  <c r="M55" i="13"/>
  <c r="I31" i="13"/>
  <c r="I33" i="13"/>
  <c r="I34" i="13"/>
  <c r="I55" i="13"/>
  <c r="K31" i="13"/>
  <c r="K33" i="13"/>
  <c r="K34" i="13"/>
  <c r="K55" i="13"/>
  <c r="N65" i="3"/>
  <c r="N69" i="3"/>
  <c r="N63" i="3"/>
  <c r="O46" i="4"/>
  <c r="O121" i="10"/>
  <c r="L46" i="4"/>
  <c r="L121" i="10"/>
  <c r="L45" i="11"/>
  <c r="K46" i="4"/>
  <c r="K121" i="10"/>
  <c r="I86" i="3"/>
  <c r="K41" i="4"/>
  <c r="M46" i="4"/>
  <c r="M121" i="10"/>
  <c r="M45" i="11"/>
  <c r="K86" i="3"/>
  <c r="M41" i="4"/>
  <c r="M84" i="3"/>
  <c r="I46" i="4"/>
  <c r="I121" i="10"/>
  <c r="I45" i="11"/>
  <c r="B87" i="3"/>
  <c r="B19" i="3"/>
  <c r="J121" i="10"/>
  <c r="J45" i="11"/>
  <c r="H86" i="3"/>
  <c r="J41" i="4"/>
  <c r="J86" i="3"/>
  <c r="L41" i="4"/>
  <c r="J31" i="13"/>
  <c r="J33" i="13"/>
  <c r="J34" i="13"/>
  <c r="N66" i="3"/>
  <c r="N31" i="13"/>
  <c r="N33" i="13"/>
  <c r="N34" i="13"/>
  <c r="P31" i="13"/>
  <c r="P33" i="13"/>
  <c r="P34" i="13"/>
  <c r="P55" i="13"/>
  <c r="N67" i="3"/>
  <c r="I25" i="4"/>
  <c r="B43" i="9"/>
  <c r="J79" i="9"/>
  <c r="B54" i="9"/>
  <c r="J73" i="13"/>
  <c r="B52" i="13"/>
  <c r="J72" i="13"/>
  <c r="P51" i="26"/>
  <c r="B52" i="26"/>
  <c r="J74" i="26"/>
  <c r="B42" i="26"/>
  <c r="J72" i="26"/>
  <c r="J73" i="26"/>
  <c r="B63" i="26"/>
  <c r="J66" i="8"/>
  <c r="O38" i="9"/>
  <c r="O55" i="9"/>
  <c r="I69" i="27"/>
  <c r="M69" i="27"/>
  <c r="J73" i="27"/>
  <c r="N73" i="27"/>
  <c r="N38" i="9"/>
  <c r="L69" i="27"/>
  <c r="N69" i="27"/>
  <c r="O69" i="27"/>
  <c r="B39" i="9"/>
  <c r="L38" i="9"/>
  <c r="L55" i="9"/>
  <c r="E9" i="23"/>
  <c r="P38" i="9"/>
  <c r="P42" i="9"/>
  <c r="M38" i="9"/>
  <c r="M55" i="9"/>
  <c r="J121" i="3"/>
  <c r="K84" i="3"/>
  <c r="M41" i="29"/>
  <c r="B50" i="8"/>
  <c r="J69" i="8"/>
  <c r="B46" i="8"/>
  <c r="B61" i="13"/>
  <c r="L64" i="13"/>
  <c r="J74" i="13"/>
  <c r="J69" i="26"/>
  <c r="J71" i="26"/>
  <c r="B59" i="26"/>
  <c r="M21" i="9"/>
  <c r="G21" i="9"/>
  <c r="J82" i="9"/>
  <c r="J70" i="29"/>
  <c r="J73" i="29"/>
  <c r="J74" i="29"/>
  <c r="J71" i="29"/>
  <c r="J72" i="29"/>
  <c r="L64" i="29"/>
  <c r="G26" i="29"/>
  <c r="B36" i="29"/>
  <c r="B50" i="9"/>
  <c r="J67" i="22"/>
  <c r="J194" i="10"/>
  <c r="I67" i="22"/>
  <c r="I194" i="10"/>
  <c r="M67" i="22"/>
  <c r="M194" i="10"/>
  <c r="L67" i="22"/>
  <c r="L194" i="10"/>
  <c r="K67" i="22"/>
  <c r="K194" i="10"/>
  <c r="N67" i="22"/>
  <c r="N194" i="10"/>
  <c r="B19" i="27"/>
  <c r="P67" i="22"/>
  <c r="P194" i="10"/>
  <c r="O67" i="22"/>
  <c r="O194" i="10"/>
  <c r="B41" i="9"/>
  <c r="R95" i="10"/>
  <c r="M181" i="10"/>
  <c r="O63" i="22"/>
  <c r="O190" i="10"/>
  <c r="K21" i="9"/>
  <c r="N26" i="29"/>
  <c r="N60" i="29"/>
  <c r="N62" i="29"/>
  <c r="N21" i="9"/>
  <c r="I26" i="29"/>
  <c r="J26" i="29"/>
  <c r="J21" i="9"/>
  <c r="H27" i="27"/>
  <c r="N27" i="27"/>
  <c r="L73" i="27"/>
  <c r="I73" i="27"/>
  <c r="K73" i="27"/>
  <c r="O73" i="27"/>
  <c r="J28" i="27"/>
  <c r="K28" i="27"/>
  <c r="L28" i="27"/>
  <c r="M28" i="27"/>
  <c r="N28" i="27"/>
  <c r="L45" i="29"/>
  <c r="L49" i="29"/>
  <c r="N68" i="3"/>
  <c r="L21" i="9"/>
  <c r="J117" i="3"/>
  <c r="B17" i="4"/>
  <c r="L62" i="22"/>
  <c r="L189" i="10"/>
  <c r="B28" i="19"/>
  <c r="L23" i="16"/>
  <c r="O29" i="16"/>
  <c r="Q29" i="16"/>
  <c r="Q15" i="16"/>
  <c r="R15" i="16"/>
  <c r="R31" i="16"/>
  <c r="S32" i="16"/>
  <c r="T32" i="16"/>
  <c r="T15" i="16"/>
  <c r="K20" i="16"/>
  <c r="L20" i="16"/>
  <c r="P29" i="16"/>
  <c r="I180" i="10"/>
  <c r="N62" i="22"/>
  <c r="N189" i="10"/>
  <c r="M63" i="22"/>
  <c r="M190" i="10"/>
  <c r="J25" i="9"/>
  <c r="M49" i="27"/>
  <c r="N65" i="22"/>
  <c r="N192" i="10"/>
  <c r="N182" i="10"/>
  <c r="O65" i="22"/>
  <c r="O192" i="10"/>
  <c r="K64" i="22"/>
  <c r="K191" i="10"/>
  <c r="N48" i="27"/>
  <c r="P21" i="9"/>
  <c r="P26" i="29"/>
  <c r="P60" i="29"/>
  <c r="P62" i="29"/>
  <c r="J218" i="4"/>
  <c r="J226" i="4"/>
  <c r="J234" i="4"/>
  <c r="J238" i="4"/>
  <c r="J222" i="4"/>
  <c r="I215" i="4"/>
  <c r="K215" i="4"/>
  <c r="H215" i="4"/>
  <c r="G215" i="4"/>
  <c r="F236" i="4"/>
  <c r="F237" i="4"/>
  <c r="L226" i="4"/>
  <c r="L229" i="4"/>
  <c r="J52" i="32"/>
  <c r="K218" i="4"/>
  <c r="I52" i="32"/>
  <c r="K221" i="4"/>
  <c r="K234" i="4"/>
  <c r="I58" i="32"/>
  <c r="K237" i="4"/>
  <c r="J221" i="4"/>
  <c r="B167" i="4"/>
  <c r="J71" i="4"/>
  <c r="B152" i="4"/>
  <c r="L221" i="4"/>
  <c r="J230" i="4"/>
  <c r="J237" i="4"/>
  <c r="P49" i="29"/>
  <c r="K213" i="4"/>
  <c r="I213" i="4"/>
  <c r="L182" i="10"/>
  <c r="N64" i="22"/>
  <c r="N191" i="10"/>
  <c r="F230" i="4"/>
  <c r="K36" i="3"/>
  <c r="E218" i="4"/>
  <c r="E226" i="4"/>
  <c r="E230" i="4"/>
  <c r="B176" i="4"/>
  <c r="L62" i="4"/>
  <c r="I12" i="20"/>
  <c r="K238" i="4"/>
  <c r="K239" i="4"/>
  <c r="M28" i="3"/>
  <c r="D214" i="4"/>
  <c r="K33" i="3"/>
  <c r="I182" i="10"/>
  <c r="P180" i="10"/>
  <c r="P63" i="22"/>
  <c r="P190" i="10"/>
  <c r="L28" i="3"/>
  <c r="I28" i="3"/>
  <c r="J63" i="22"/>
  <c r="J190" i="10"/>
  <c r="E213" i="4"/>
  <c r="J76" i="4"/>
  <c r="B45" i="4"/>
  <c r="J58" i="4"/>
  <c r="H57" i="4"/>
  <c r="J77" i="4"/>
  <c r="B157" i="4"/>
  <c r="B180" i="4"/>
  <c r="B162" i="4"/>
  <c r="L64" i="4"/>
  <c r="N213" i="4"/>
  <c r="L213" i="4"/>
  <c r="M212" i="4"/>
  <c r="H213" i="4"/>
  <c r="F213" i="4"/>
  <c r="G213" i="4"/>
  <c r="K49" i="32"/>
  <c r="F50" i="32"/>
  <c r="B150" i="4"/>
  <c r="G103" i="32"/>
  <c r="G179" i="32"/>
  <c r="G104" i="32"/>
  <c r="G180" i="32"/>
  <c r="K180" i="10"/>
  <c r="K63" i="22"/>
  <c r="N180" i="10"/>
  <c r="N63" i="22"/>
  <c r="N190" i="10"/>
  <c r="N55" i="9"/>
  <c r="N42" i="9"/>
  <c r="E49" i="32"/>
  <c r="E50" i="32"/>
  <c r="K29" i="3"/>
  <c r="I29" i="3"/>
  <c r="M32" i="3"/>
  <c r="J29" i="3"/>
  <c r="K50" i="27"/>
  <c r="L50" i="27"/>
  <c r="O181" i="10"/>
  <c r="D238" i="4"/>
  <c r="D213" i="4"/>
  <c r="M67" i="26"/>
  <c r="S95" i="10"/>
  <c r="S116" i="10"/>
  <c r="S176" i="10"/>
  <c r="R116" i="10"/>
  <c r="R198" i="10"/>
  <c r="Q92" i="10"/>
  <c r="B16" i="13"/>
  <c r="B16" i="8"/>
  <c r="P49" i="4"/>
  <c r="G108" i="32"/>
  <c r="G184" i="32"/>
  <c r="I230" i="4"/>
  <c r="I221" i="4"/>
  <c r="I222" i="4"/>
  <c r="G221" i="4"/>
  <c r="G226" i="4"/>
  <c r="G234" i="4"/>
  <c r="F58" i="32"/>
  <c r="G222" i="4"/>
  <c r="K230" i="4"/>
  <c r="K231" i="4"/>
  <c r="K229" i="4"/>
  <c r="L222" i="4"/>
  <c r="I49" i="32"/>
  <c r="J55" i="32"/>
  <c r="F109" i="32"/>
  <c r="F185" i="32"/>
  <c r="H49" i="32"/>
  <c r="D107" i="32"/>
  <c r="K222" i="4"/>
  <c r="K223" i="4"/>
  <c r="S92" i="10"/>
  <c r="R166" i="10"/>
  <c r="G229" i="4"/>
  <c r="F55" i="32"/>
  <c r="F105" i="32"/>
  <c r="F181" i="32"/>
  <c r="G230" i="4"/>
  <c r="G237" i="4"/>
  <c r="G238" i="4"/>
  <c r="M182" i="10"/>
  <c r="M65" i="22"/>
  <c r="M192" i="10"/>
  <c r="N30" i="13"/>
  <c r="I181" i="10"/>
  <c r="I191" i="10"/>
  <c r="J179" i="10"/>
  <c r="J62" i="22"/>
  <c r="L37" i="3"/>
  <c r="I37" i="3"/>
  <c r="J33" i="3"/>
  <c r="K32" i="3"/>
  <c r="L181" i="10"/>
  <c r="P66" i="4"/>
  <c r="G49" i="32"/>
  <c r="D222" i="4"/>
  <c r="D49" i="32"/>
  <c r="D103" i="32"/>
  <c r="J37" i="3"/>
  <c r="J189" i="10"/>
  <c r="L47" i="26"/>
  <c r="L51" i="26"/>
  <c r="G203" i="10"/>
  <c r="E222" i="4"/>
  <c r="G50" i="27"/>
  <c r="J20" i="9"/>
  <c r="H37" i="3"/>
  <c r="J181" i="10"/>
  <c r="D105" i="32"/>
  <c r="H222" i="4"/>
  <c r="H52" i="32"/>
  <c r="L61" i="4"/>
  <c r="L43" i="4"/>
  <c r="B114" i="4"/>
  <c r="K43" i="4"/>
  <c r="L215" i="4"/>
  <c r="L234" i="4"/>
  <c r="J58" i="32"/>
  <c r="G109" i="32"/>
  <c r="G185" i="32"/>
  <c r="J73" i="4"/>
  <c r="B139" i="4"/>
  <c r="E104" i="32"/>
  <c r="E180" i="32"/>
  <c r="E107" i="32"/>
  <c r="E183" i="32"/>
  <c r="F104" i="32"/>
  <c r="F180" i="32"/>
  <c r="P15" i="29"/>
  <c r="P15" i="26"/>
  <c r="P15" i="8"/>
  <c r="P15" i="13"/>
  <c r="P15" i="4"/>
  <c r="L237" i="4"/>
  <c r="L238" i="4"/>
  <c r="B200" i="4"/>
  <c r="B61" i="34"/>
  <c r="B59" i="34"/>
  <c r="K43" i="13"/>
  <c r="K130" i="10"/>
  <c r="K56" i="11"/>
  <c r="K73" i="11"/>
  <c r="K45" i="11"/>
  <c r="I43" i="13"/>
  <c r="E215" i="4"/>
  <c r="I92" i="34"/>
  <c r="B110" i="34"/>
  <c r="E108" i="32"/>
  <c r="E184" i="32"/>
  <c r="K49" i="27"/>
  <c r="M22" i="9"/>
  <c r="N22" i="9"/>
  <c r="G49" i="27"/>
  <c r="J49" i="27"/>
  <c r="L27" i="29"/>
  <c r="L49" i="27"/>
  <c r="I49" i="27"/>
  <c r="K22" i="9"/>
  <c r="H32" i="3"/>
  <c r="I33" i="3"/>
  <c r="D215" i="4"/>
  <c r="N78" i="3"/>
  <c r="N50" i="27"/>
  <c r="P28" i="29"/>
  <c r="D104" i="32"/>
  <c r="L49" i="32"/>
  <c r="S15" i="16"/>
  <c r="D220" i="4"/>
  <c r="D228" i="4"/>
  <c r="D236" i="4"/>
  <c r="G105" i="32"/>
  <c r="G181" i="32"/>
  <c r="N74" i="3"/>
  <c r="N49" i="27"/>
  <c r="M215" i="4"/>
  <c r="M218" i="4"/>
  <c r="M222" i="4"/>
  <c r="M226" i="4"/>
  <c r="G55" i="32"/>
  <c r="F106" i="32"/>
  <c r="F182" i="32"/>
  <c r="M213" i="4"/>
  <c r="M234" i="4"/>
  <c r="E109" i="32"/>
  <c r="E185" i="32"/>
  <c r="M37" i="3"/>
  <c r="M36" i="3"/>
  <c r="L63" i="22"/>
  <c r="K179" i="10"/>
  <c r="P25" i="9"/>
  <c r="O179" i="10"/>
  <c r="F222" i="4"/>
  <c r="L42" i="9"/>
  <c r="M221" i="4"/>
  <c r="E234" i="4"/>
  <c r="K27" i="29"/>
  <c r="M27" i="29"/>
  <c r="N27" i="29"/>
  <c r="N218" i="4"/>
  <c r="I219" i="4"/>
  <c r="M238" i="4"/>
  <c r="L190" i="10"/>
  <c r="M230" i="4"/>
  <c r="I27" i="29"/>
  <c r="I22" i="9"/>
  <c r="J22" i="9"/>
  <c r="L22" i="9"/>
  <c r="G219" i="4"/>
  <c r="F219" i="4"/>
  <c r="K52" i="32"/>
  <c r="D53" i="32"/>
  <c r="D219" i="4"/>
  <c r="M237" i="4"/>
  <c r="P43" i="13"/>
  <c r="L55" i="13"/>
  <c r="G52" i="32"/>
  <c r="G53" i="32"/>
  <c r="D221" i="4"/>
  <c r="M43" i="13"/>
  <c r="N43" i="13"/>
  <c r="N55" i="13"/>
  <c r="D50" i="32"/>
  <c r="B145" i="34"/>
  <c r="O42" i="9"/>
  <c r="D229" i="4"/>
  <c r="J53" i="32"/>
  <c r="F53" i="32"/>
  <c r="D237" i="4"/>
  <c r="H50" i="32"/>
  <c r="D110" i="32"/>
  <c r="I50" i="32"/>
  <c r="J50" i="32"/>
  <c r="D108" i="32"/>
  <c r="B33" i="34"/>
  <c r="B128" i="34"/>
  <c r="B132" i="34"/>
  <c r="B120" i="34"/>
  <c r="B157" i="34"/>
  <c r="B40" i="34"/>
  <c r="B27" i="34"/>
  <c r="B44" i="34"/>
  <c r="B153" i="34"/>
  <c r="B96" i="34"/>
  <c r="B23" i="34"/>
  <c r="B94" i="34"/>
  <c r="R39" i="22"/>
  <c r="R58" i="22"/>
  <c r="R6" i="11"/>
  <c r="R53" i="11"/>
  <c r="G206" i="10"/>
  <c r="J5" i="30"/>
  <c r="R176" i="10"/>
  <c r="G202" i="10"/>
  <c r="G210" i="10"/>
  <c r="F216" i="10"/>
  <c r="K3" i="26"/>
  <c r="I130" i="10"/>
  <c r="I56" i="11"/>
  <c r="I73" i="11"/>
  <c r="L130" i="10"/>
  <c r="L56" i="11"/>
  <c r="L73" i="11"/>
  <c r="N45" i="13"/>
  <c r="O62" i="8"/>
  <c r="M30" i="8"/>
  <c r="K30" i="8"/>
  <c r="O66" i="4"/>
  <c r="O47" i="26"/>
  <c r="O51" i="26"/>
  <c r="O53" i="26"/>
  <c r="O67" i="26"/>
  <c r="K66" i="4"/>
  <c r="O20" i="4"/>
  <c r="K30" i="26"/>
  <c r="K43" i="26"/>
  <c r="K46" i="8"/>
  <c r="F220" i="10"/>
  <c r="G208" i="10"/>
  <c r="B84" i="10"/>
  <c r="H5" i="30"/>
  <c r="B62" i="11"/>
  <c r="M130" i="10"/>
  <c r="M56" i="11"/>
  <c r="M73" i="11"/>
  <c r="N62" i="8"/>
  <c r="M20" i="4"/>
  <c r="M47" i="26"/>
  <c r="M51" i="26"/>
  <c r="M53" i="26"/>
  <c r="K3" i="8"/>
  <c r="M30" i="13"/>
  <c r="M66" i="4"/>
  <c r="B71" i="10"/>
  <c r="K3" i="29"/>
  <c r="M67" i="13"/>
  <c r="M46" i="8"/>
  <c r="K49" i="13"/>
  <c r="K51" i="13"/>
  <c r="K53" i="13"/>
  <c r="F222" i="10"/>
  <c r="K51" i="8"/>
  <c r="O49" i="13"/>
  <c r="O51" i="13"/>
  <c r="O53" i="13"/>
  <c r="L67" i="13"/>
  <c r="N47" i="26"/>
  <c r="N51" i="26"/>
  <c r="N53" i="26"/>
  <c r="L30" i="26"/>
  <c r="L43" i="26"/>
  <c r="L20" i="4"/>
  <c r="L46" i="8"/>
  <c r="P30" i="8"/>
  <c r="L62" i="8"/>
  <c r="M51" i="8"/>
  <c r="O67" i="13"/>
  <c r="O30" i="13"/>
  <c r="L45" i="13"/>
  <c r="L49" i="4"/>
  <c r="K57" i="8"/>
  <c r="L51" i="8"/>
  <c r="P53" i="26"/>
  <c r="P45" i="13"/>
  <c r="L49" i="13"/>
  <c r="L51" i="13"/>
  <c r="N67" i="26"/>
  <c r="P67" i="13"/>
  <c r="M49" i="13"/>
  <c r="M51" i="13"/>
  <c r="M53" i="13"/>
  <c r="N49" i="4"/>
  <c r="N62" i="4"/>
  <c r="N51" i="8"/>
  <c r="N49" i="13"/>
  <c r="N51" i="13"/>
  <c r="N53" i="13"/>
  <c r="N66" i="4"/>
  <c r="N30" i="8"/>
  <c r="B51" i="11"/>
  <c r="P53" i="13"/>
  <c r="B129" i="4"/>
  <c r="K60" i="13"/>
  <c r="K62" i="13"/>
  <c r="B102" i="34"/>
  <c r="B55" i="34"/>
  <c r="P23" i="9"/>
  <c r="J27" i="29"/>
  <c r="L33" i="3"/>
  <c r="J30" i="29"/>
  <c r="E238" i="4"/>
  <c r="P27" i="29"/>
  <c r="P22" i="9"/>
  <c r="K190" i="10"/>
  <c r="I53" i="32"/>
  <c r="H53" i="32"/>
  <c r="E106" i="32"/>
  <c r="E182" i="32"/>
  <c r="L52" i="32"/>
  <c r="J219" i="4"/>
  <c r="N222" i="4"/>
  <c r="B190" i="4"/>
  <c r="N219" i="4"/>
  <c r="L219" i="4"/>
  <c r="K219" i="4"/>
  <c r="J65" i="22"/>
  <c r="J192" i="10"/>
  <c r="J182" i="10"/>
  <c r="E53" i="32"/>
  <c r="E110" i="32"/>
  <c r="E186" i="32"/>
  <c r="I23" i="9"/>
  <c r="L60" i="26"/>
  <c r="L62" i="26"/>
  <c r="L53" i="26"/>
  <c r="K147" i="4"/>
  <c r="H221" i="4"/>
  <c r="H226" i="4"/>
  <c r="P31" i="16"/>
  <c r="P32" i="16"/>
  <c r="S17" i="16"/>
  <c r="S16" i="16"/>
  <c r="D106" i="32"/>
  <c r="G50" i="32"/>
  <c r="S198" i="10"/>
  <c r="S148" i="10"/>
  <c r="K12" i="15"/>
  <c r="K5" i="30"/>
  <c r="S166" i="10"/>
  <c r="S39" i="22"/>
  <c r="S58" i="22"/>
  <c r="S6" i="11"/>
  <c r="S53" i="11"/>
  <c r="M23" i="9"/>
  <c r="N23" i="9"/>
  <c r="M28" i="29"/>
  <c r="N28" i="29"/>
  <c r="L31" i="16"/>
  <c r="L16" i="16"/>
  <c r="M88" i="3"/>
  <c r="K33" i="4"/>
  <c r="K37" i="4"/>
  <c r="K39" i="4"/>
  <c r="O41" i="4"/>
  <c r="O55" i="4"/>
  <c r="J106" i="3"/>
  <c r="I50" i="27"/>
  <c r="J161" i="4"/>
  <c r="P62" i="4"/>
  <c r="B16" i="9"/>
  <c r="B16" i="26"/>
  <c r="K54" i="22"/>
  <c r="I27" i="27"/>
  <c r="P62" i="22"/>
  <c r="P179" i="10"/>
  <c r="O45" i="8"/>
  <c r="O122" i="10"/>
  <c r="B54" i="27"/>
  <c r="M48" i="27"/>
  <c r="J80" i="9"/>
  <c r="O62" i="4"/>
  <c r="K62" i="29"/>
  <c r="L62" i="29"/>
  <c r="B55" i="29"/>
  <c r="B155" i="4"/>
  <c r="O45" i="11"/>
  <c r="O130" i="10"/>
  <c r="O56" i="11"/>
  <c r="O73" i="11"/>
  <c r="H28" i="3"/>
  <c r="H29" i="3"/>
  <c r="F214" i="4"/>
  <c r="F215" i="4"/>
  <c r="M33" i="3"/>
  <c r="P64" i="22"/>
  <c r="P191" i="10"/>
  <c r="P181" i="10"/>
  <c r="P54" i="22"/>
  <c r="N64" i="3"/>
  <c r="N81" i="3"/>
  <c r="L230" i="4"/>
  <c r="M43" i="4"/>
  <c r="K51" i="27"/>
  <c r="L29" i="3"/>
  <c r="B16" i="29"/>
  <c r="K15" i="4"/>
  <c r="B47" i="4"/>
  <c r="K49" i="4"/>
  <c r="J70" i="13"/>
  <c r="B65" i="9"/>
  <c r="B56" i="13"/>
  <c r="J215" i="4"/>
  <c r="R148" i="10"/>
  <c r="J12" i="15"/>
  <c r="O41" i="29"/>
  <c r="N84" i="3"/>
  <c r="L36" i="3"/>
  <c r="K37" i="3"/>
  <c r="B37" i="26"/>
  <c r="L64" i="26"/>
  <c r="K28" i="26"/>
  <c r="N58" i="26"/>
  <c r="N123" i="10"/>
  <c r="K27" i="26"/>
  <c r="B46" i="29"/>
  <c r="F73" i="27"/>
  <c r="N46" i="4"/>
  <c r="N121" i="10"/>
  <c r="L86" i="3"/>
  <c r="K42" i="9"/>
  <c r="K55" i="9"/>
  <c r="P30" i="26"/>
  <c r="P43" i="26"/>
  <c r="K47" i="26"/>
  <c r="K51" i="26"/>
  <c r="O27" i="29"/>
  <c r="J50" i="27"/>
  <c r="B10" i="30"/>
  <c r="M50" i="27"/>
  <c r="J229" i="4"/>
  <c r="H23" i="16"/>
  <c r="H25" i="19"/>
  <c r="H27" i="19"/>
  <c r="H29" i="19"/>
  <c r="H31" i="19"/>
  <c r="K73" i="9"/>
  <c r="M42" i="9"/>
  <c r="J130" i="10"/>
  <c r="J56" i="11"/>
  <c r="J73" i="11"/>
  <c r="O43" i="4"/>
  <c r="F218" i="10"/>
  <c r="B10" i="11"/>
  <c r="B8" i="11"/>
  <c r="B73" i="10"/>
  <c r="G51" i="27"/>
  <c r="H36" i="3"/>
  <c r="J32" i="3"/>
  <c r="I29" i="20"/>
  <c r="P46" i="4"/>
  <c r="P121" i="10"/>
  <c r="L57" i="8"/>
  <c r="B108" i="26"/>
  <c r="L58" i="26"/>
  <c r="L123" i="10"/>
  <c r="L132" i="10"/>
  <c r="L58" i="11"/>
  <c r="O58" i="26"/>
  <c r="O123" i="10"/>
  <c r="O132" i="10"/>
  <c r="O58" i="11"/>
  <c r="M27" i="27"/>
  <c r="M45" i="29"/>
  <c r="M49" i="29"/>
  <c r="M62" i="4"/>
  <c r="P46" i="8"/>
  <c r="B61" i="29"/>
  <c r="B21" i="34"/>
  <c r="B106" i="8"/>
  <c r="S93" i="10"/>
  <c r="T95" i="10"/>
  <c r="R92" i="10"/>
  <c r="R93" i="10"/>
  <c r="J65" i="8"/>
  <c r="J67" i="8"/>
  <c r="Q93" i="10"/>
  <c r="Q94" i="10"/>
  <c r="Q116" i="10"/>
  <c r="O51" i="8"/>
  <c r="O46" i="8"/>
  <c r="K67" i="13"/>
  <c r="K45" i="13"/>
  <c r="I179" i="10"/>
  <c r="I62" i="22"/>
  <c r="I189" i="10"/>
  <c r="M62" i="22"/>
  <c r="M179" i="10"/>
  <c r="I229" i="4"/>
  <c r="I234" i="4"/>
  <c r="G58" i="32"/>
  <c r="O22" i="9"/>
  <c r="P55" i="9"/>
  <c r="K3" i="13"/>
  <c r="K3" i="9"/>
  <c r="K27" i="8"/>
  <c r="K3" i="4"/>
  <c r="L32" i="3"/>
  <c r="O23" i="16"/>
  <c r="P23" i="16"/>
  <c r="M45" i="8"/>
  <c r="M122" i="10"/>
  <c r="M131" i="10"/>
  <c r="M57" i="11"/>
  <c r="I45" i="8"/>
  <c r="I122" i="10"/>
  <c r="I46" i="11"/>
  <c r="B42" i="13"/>
  <c r="J43" i="4"/>
  <c r="G43" i="4"/>
  <c r="I58" i="26"/>
  <c r="I123" i="10"/>
  <c r="I132" i="10"/>
  <c r="I58" i="11"/>
  <c r="L77" i="10"/>
  <c r="M62" i="29"/>
  <c r="B143" i="34"/>
  <c r="I36" i="3"/>
  <c r="F129" i="34"/>
  <c r="K60" i="8"/>
  <c r="M189" i="10"/>
  <c r="P189" i="10"/>
  <c r="M58" i="26"/>
  <c r="M123" i="10"/>
  <c r="P58" i="26"/>
  <c r="P123" i="10"/>
  <c r="T16" i="16"/>
  <c r="T17" i="16"/>
  <c r="J55" i="13"/>
  <c r="J43" i="13"/>
  <c r="N86" i="3"/>
  <c r="K65" i="26"/>
  <c r="G129" i="34"/>
  <c r="H36" i="19"/>
  <c r="L191" i="10"/>
  <c r="O191" i="10"/>
  <c r="O55" i="13"/>
  <c r="O43" i="13"/>
  <c r="P45" i="8"/>
  <c r="P122" i="10"/>
  <c r="I28" i="29"/>
  <c r="E219" i="4"/>
  <c r="M229" i="4"/>
  <c r="N226" i="4"/>
  <c r="E220" i="4"/>
  <c r="M219" i="4"/>
  <c r="H219" i="4"/>
  <c r="O52" i="29"/>
  <c r="P52" i="29"/>
  <c r="N52" i="29"/>
  <c r="L47" i="11"/>
  <c r="I131" i="10"/>
  <c r="I57" i="11"/>
  <c r="O47" i="11"/>
  <c r="L53" i="13"/>
  <c r="L60" i="13"/>
  <c r="L62" i="13"/>
  <c r="I47" i="11"/>
  <c r="M46" i="11"/>
  <c r="O46" i="11"/>
  <c r="O131" i="10"/>
  <c r="O57" i="11"/>
  <c r="N215" i="4"/>
  <c r="N47" i="11"/>
  <c r="N132" i="10"/>
  <c r="N58" i="11"/>
  <c r="G106" i="32"/>
  <c r="G182" i="32"/>
  <c r="Q15" i="9"/>
  <c r="Q15" i="29"/>
  <c r="Q196" i="10"/>
  <c r="Q15" i="4"/>
  <c r="Q15" i="13"/>
  <c r="Q15" i="26"/>
  <c r="Q15" i="8"/>
  <c r="Q110" i="10"/>
  <c r="Q174" i="10"/>
  <c r="Q146" i="10"/>
  <c r="N45" i="11"/>
  <c r="N130" i="10"/>
  <c r="N56" i="11"/>
  <c r="N73" i="11"/>
  <c r="J45" i="8"/>
  <c r="J122" i="10"/>
  <c r="H35" i="19"/>
  <c r="J35" i="19"/>
  <c r="L45" i="8"/>
  <c r="L122" i="10"/>
  <c r="K28" i="29"/>
  <c r="K23" i="9"/>
  <c r="H230" i="4"/>
  <c r="H234" i="4"/>
  <c r="H55" i="32"/>
  <c r="H229" i="4"/>
  <c r="R94" i="10"/>
  <c r="N214" i="4"/>
  <c r="Q176" i="10"/>
  <c r="Q198" i="10"/>
  <c r="Q13" i="26"/>
  <c r="Q148" i="10"/>
  <c r="Q13" i="8"/>
  <c r="Q166" i="10"/>
  <c r="Q13" i="9"/>
  <c r="Q6" i="11"/>
  <c r="Q53" i="11"/>
  <c r="Q39" i="22"/>
  <c r="Q58" i="22"/>
  <c r="Q13" i="13"/>
  <c r="I5" i="30"/>
  <c r="Q13" i="4"/>
  <c r="I12" i="15"/>
  <c r="Q13" i="29"/>
  <c r="K60" i="26"/>
  <c r="K62" i="26"/>
  <c r="K53" i="26"/>
  <c r="N41" i="4"/>
  <c r="N55" i="4"/>
  <c r="L88" i="3"/>
  <c r="M24" i="9"/>
  <c r="N24" i="9"/>
  <c r="M29" i="29"/>
  <c r="N29" i="29"/>
  <c r="P65" i="22"/>
  <c r="P192" i="10"/>
  <c r="P182" i="10"/>
  <c r="K182" i="10"/>
  <c r="K65" i="22"/>
  <c r="J170" i="4"/>
  <c r="J173" i="4"/>
  <c r="D170" i="32"/>
  <c r="K161" i="4"/>
  <c r="K170" i="4"/>
  <c r="K173" i="4"/>
  <c r="D171" i="32"/>
  <c r="K151" i="4"/>
  <c r="K154" i="4"/>
  <c r="K149" i="4"/>
  <c r="K153" i="4"/>
  <c r="J28" i="29"/>
  <c r="J58" i="26"/>
  <c r="J123" i="10"/>
  <c r="J23" i="9"/>
  <c r="I29" i="29"/>
  <c r="I24" i="9"/>
  <c r="O28" i="29"/>
  <c r="O23" i="9"/>
  <c r="O26" i="29"/>
  <c r="O60" i="29"/>
  <c r="O62" i="29"/>
  <c r="O21" i="9"/>
  <c r="N51" i="27"/>
  <c r="K58" i="26"/>
  <c r="K123" i="10"/>
  <c r="K53" i="27"/>
  <c r="K45" i="8"/>
  <c r="K122" i="10"/>
  <c r="G53" i="27"/>
  <c r="N45" i="8"/>
  <c r="N122" i="10"/>
  <c r="I238" i="4"/>
  <c r="I237" i="4"/>
  <c r="T93" i="10"/>
  <c r="T116" i="10"/>
  <c r="T92" i="10"/>
  <c r="U95" i="10"/>
  <c r="L28" i="29"/>
  <c r="L23" i="9"/>
  <c r="K26" i="13"/>
  <c r="M51" i="27"/>
  <c r="I51" i="27"/>
  <c r="L51" i="27"/>
  <c r="L53" i="27"/>
  <c r="J51" i="27"/>
  <c r="E221" i="4"/>
  <c r="N221" i="4"/>
  <c r="N220" i="4"/>
  <c r="E228" i="4"/>
  <c r="F227" i="4"/>
  <c r="N227" i="4"/>
  <c r="H227" i="4"/>
  <c r="G227" i="4"/>
  <c r="I227" i="4"/>
  <c r="L227" i="4"/>
  <c r="K55" i="32"/>
  <c r="D227" i="4"/>
  <c r="N230" i="4"/>
  <c r="B194" i="4"/>
  <c r="J227" i="4"/>
  <c r="K227" i="4"/>
  <c r="N228" i="4"/>
  <c r="E227" i="4"/>
  <c r="Q45" i="11"/>
  <c r="P130" i="10"/>
  <c r="P56" i="11"/>
  <c r="P73" i="11"/>
  <c r="E7" i="32"/>
  <c r="P45" i="11"/>
  <c r="E53" i="34"/>
  <c r="G85" i="8"/>
  <c r="L60" i="8"/>
  <c r="M227" i="4"/>
  <c r="L65" i="26"/>
  <c r="G90" i="26"/>
  <c r="M47" i="11"/>
  <c r="M132" i="10"/>
  <c r="M58" i="11"/>
  <c r="P131" i="10"/>
  <c r="P57" i="11"/>
  <c r="P46" i="11"/>
  <c r="E8" i="32"/>
  <c r="Q46" i="11"/>
  <c r="F53" i="34"/>
  <c r="K58" i="4"/>
  <c r="P41" i="4"/>
  <c r="N88" i="3"/>
  <c r="P132" i="10"/>
  <c r="P58" i="11"/>
  <c r="E9" i="32"/>
  <c r="Q47" i="11"/>
  <c r="P47" i="11"/>
  <c r="G53" i="34"/>
  <c r="J36" i="19"/>
  <c r="E93" i="34"/>
  <c r="O4" i="4"/>
  <c r="E107" i="34"/>
  <c r="J67" i="10"/>
  <c r="I148" i="34"/>
  <c r="I150" i="34"/>
  <c r="I152" i="34"/>
  <c r="I156" i="34"/>
  <c r="L24" i="9"/>
  <c r="L29" i="29"/>
  <c r="K27" i="13"/>
  <c r="K28" i="13"/>
  <c r="U92" i="10"/>
  <c r="V95" i="10"/>
  <c r="U93" i="10"/>
  <c r="U116" i="10"/>
  <c r="K131" i="10"/>
  <c r="K57" i="11"/>
  <c r="K46" i="11"/>
  <c r="Q47" i="9"/>
  <c r="Q49" i="9"/>
  <c r="Q76" i="9"/>
  <c r="B60" i="9"/>
  <c r="Q63" i="9"/>
  <c r="R13" i="9"/>
  <c r="B47" i="9"/>
  <c r="Q36" i="9"/>
  <c r="Q45" i="9"/>
  <c r="Q30" i="26"/>
  <c r="Q43" i="26"/>
  <c r="Q67" i="26"/>
  <c r="R13" i="26"/>
  <c r="Q47" i="26"/>
  <c r="R196" i="10"/>
  <c r="R15" i="4"/>
  <c r="R110" i="10"/>
  <c r="R174" i="10"/>
  <c r="R15" i="26"/>
  <c r="R146" i="10"/>
  <c r="R15" i="8"/>
  <c r="R15" i="29"/>
  <c r="R15" i="9"/>
  <c r="R15" i="13"/>
  <c r="L131" i="10"/>
  <c r="L57" i="11"/>
  <c r="L46" i="11"/>
  <c r="O29" i="29"/>
  <c r="O24" i="9"/>
  <c r="I26" i="9"/>
  <c r="I31" i="29"/>
  <c r="P24" i="9"/>
  <c r="P29" i="29"/>
  <c r="N53" i="27"/>
  <c r="J132" i="10"/>
  <c r="J58" i="11"/>
  <c r="J47" i="11"/>
  <c r="K181" i="4"/>
  <c r="D173" i="32"/>
  <c r="J181" i="4"/>
  <c r="D172" i="32"/>
  <c r="D169" i="32"/>
  <c r="Q24" i="4"/>
  <c r="Q66" i="4"/>
  <c r="Q20" i="4"/>
  <c r="B29" i="4"/>
  <c r="Q49" i="4"/>
  <c r="Q28" i="4"/>
  <c r="Q25" i="4"/>
  <c r="B32" i="4"/>
  <c r="R13" i="4"/>
  <c r="H58" i="32"/>
  <c r="H238" i="4"/>
  <c r="H237" i="4"/>
  <c r="N234" i="4"/>
  <c r="H235" i="4"/>
  <c r="K29" i="29"/>
  <c r="K24" i="9"/>
  <c r="J24" i="9"/>
  <c r="T198" i="10"/>
  <c r="L5" i="30"/>
  <c r="T166" i="10"/>
  <c r="T148" i="10"/>
  <c r="T6" i="11"/>
  <c r="T53" i="11"/>
  <c r="T39" i="22"/>
  <c r="T58" i="22"/>
  <c r="L12" i="15"/>
  <c r="T176" i="10"/>
  <c r="N131" i="10"/>
  <c r="N57" i="11"/>
  <c r="N46" i="11"/>
  <c r="K47" i="11"/>
  <c r="K132" i="10"/>
  <c r="K58" i="11"/>
  <c r="K156" i="4"/>
  <c r="C169" i="32"/>
  <c r="K192" i="10"/>
  <c r="Q62" i="8"/>
  <c r="Q49" i="8"/>
  <c r="Q51" i="8"/>
  <c r="R13" i="8"/>
  <c r="Q46" i="8"/>
  <c r="Q30" i="8"/>
  <c r="F107" i="32"/>
  <c r="F183" i="32"/>
  <c r="L55" i="32"/>
  <c r="J131" i="10"/>
  <c r="J57" i="11"/>
  <c r="J46" i="11"/>
  <c r="I53" i="27"/>
  <c r="S94" i="10"/>
  <c r="N26" i="9"/>
  <c r="N31" i="29"/>
  <c r="N35" i="29"/>
  <c r="N54" i="29"/>
  <c r="N55" i="22"/>
  <c r="M31" i="29"/>
  <c r="M35" i="29"/>
  <c r="M54" i="29"/>
  <c r="M55" i="22"/>
  <c r="M26" i="9"/>
  <c r="Q43" i="29"/>
  <c r="Q67" i="29"/>
  <c r="R13" i="29"/>
  <c r="Q67" i="13"/>
  <c r="Q47" i="13"/>
  <c r="Q30" i="13"/>
  <c r="Q45" i="13"/>
  <c r="R13" i="13"/>
  <c r="Q49" i="13"/>
  <c r="J53" i="27"/>
  <c r="T94" i="10"/>
  <c r="T96" i="10"/>
  <c r="J29" i="29"/>
  <c r="M53" i="27"/>
  <c r="F5" i="22"/>
  <c r="F13" i="11"/>
  <c r="P96" i="10"/>
  <c r="S96" i="10"/>
  <c r="Q96" i="10"/>
  <c r="F13" i="30"/>
  <c r="R96" i="10"/>
  <c r="P55" i="4"/>
  <c r="Q41" i="4"/>
  <c r="F110" i="32"/>
  <c r="F186" i="32"/>
  <c r="E56" i="32"/>
  <c r="F56" i="32"/>
  <c r="J56" i="32"/>
  <c r="D56" i="32"/>
  <c r="I56" i="32"/>
  <c r="H56" i="32"/>
  <c r="G56" i="32"/>
  <c r="E229" i="4"/>
  <c r="N229" i="4"/>
  <c r="E236" i="4"/>
  <c r="Q26" i="4"/>
  <c r="L31" i="29"/>
  <c r="L35" i="29"/>
  <c r="L26" i="9"/>
  <c r="R19" i="29"/>
  <c r="R43" i="29"/>
  <c r="S13" i="29"/>
  <c r="R67" i="29"/>
  <c r="M66" i="22"/>
  <c r="M183" i="10"/>
  <c r="M178" i="10"/>
  <c r="M50" i="22"/>
  <c r="M41" i="22"/>
  <c r="K31" i="29"/>
  <c r="K35" i="29"/>
  <c r="K26" i="9"/>
  <c r="R67" i="26"/>
  <c r="R30" i="26"/>
  <c r="R43" i="26"/>
  <c r="S13" i="26"/>
  <c r="R19" i="26"/>
  <c r="U94" i="10"/>
  <c r="T174" i="10"/>
  <c r="T15" i="9"/>
  <c r="T15" i="8"/>
  <c r="T196" i="10"/>
  <c r="T15" i="4"/>
  <c r="T110" i="10"/>
  <c r="T146" i="10"/>
  <c r="T15" i="13"/>
  <c r="T15" i="26"/>
  <c r="T15" i="29"/>
  <c r="R45" i="13"/>
  <c r="S13" i="13"/>
  <c r="R30" i="13"/>
  <c r="R67" i="13"/>
  <c r="R47" i="13"/>
  <c r="Q43" i="13"/>
  <c r="R19" i="13"/>
  <c r="M30" i="9"/>
  <c r="M58" i="9"/>
  <c r="S15" i="9"/>
  <c r="S15" i="13"/>
  <c r="S15" i="29"/>
  <c r="S174" i="10"/>
  <c r="S110" i="10"/>
  <c r="S15" i="26"/>
  <c r="S15" i="4"/>
  <c r="S15" i="8"/>
  <c r="S196" i="10"/>
  <c r="S146" i="10"/>
  <c r="R62" i="8"/>
  <c r="R49" i="8"/>
  <c r="R51" i="8"/>
  <c r="R46" i="8"/>
  <c r="S13" i="8"/>
  <c r="R30" i="8"/>
  <c r="Q43" i="8"/>
  <c r="R19" i="8"/>
  <c r="P26" i="9"/>
  <c r="P31" i="29"/>
  <c r="P35" i="29"/>
  <c r="I30" i="9"/>
  <c r="I32" i="9"/>
  <c r="I64" i="9"/>
  <c r="I126" i="10"/>
  <c r="J26" i="9"/>
  <c r="J30" i="9"/>
  <c r="J32" i="9"/>
  <c r="J64" i="9"/>
  <c r="J126" i="10"/>
  <c r="W95" i="10"/>
  <c r="V116" i="10"/>
  <c r="V93" i="10"/>
  <c r="V92" i="10"/>
  <c r="V94" i="10"/>
  <c r="R47" i="26"/>
  <c r="Q51" i="13"/>
  <c r="Q53" i="13"/>
  <c r="Q55" i="13"/>
  <c r="Q58" i="13"/>
  <c r="Q124" i="10"/>
  <c r="R48" i="11"/>
  <c r="R49" i="13"/>
  <c r="N58" i="9"/>
  <c r="N30" i="9"/>
  <c r="R20" i="4"/>
  <c r="R66" i="4"/>
  <c r="R24" i="4"/>
  <c r="S13" i="4"/>
  <c r="R49" i="4"/>
  <c r="R25" i="4"/>
  <c r="I35" i="29"/>
  <c r="J31" i="29"/>
  <c r="J35" i="29"/>
  <c r="R47" i="9"/>
  <c r="R49" i="9"/>
  <c r="S13" i="9"/>
  <c r="R36" i="9"/>
  <c r="R76" i="9"/>
  <c r="R63" i="9"/>
  <c r="R45" i="9"/>
  <c r="Q51" i="9"/>
  <c r="Q53" i="9"/>
  <c r="Q55" i="9"/>
  <c r="Q57" i="9"/>
  <c r="E169" i="32"/>
  <c r="O31" i="29"/>
  <c r="O35" i="29"/>
  <c r="O54" i="29"/>
  <c r="O55" i="22"/>
  <c r="O26" i="9"/>
  <c r="N183" i="10"/>
  <c r="N178" i="10"/>
  <c r="N66" i="22"/>
  <c r="N50" i="22"/>
  <c r="N41" i="22"/>
  <c r="L235" i="4"/>
  <c r="F235" i="4"/>
  <c r="K235" i="4"/>
  <c r="M235" i="4"/>
  <c r="N235" i="4"/>
  <c r="J235" i="4"/>
  <c r="E235" i="4"/>
  <c r="G235" i="4"/>
  <c r="N238" i="4"/>
  <c r="K58" i="32"/>
  <c r="D235" i="4"/>
  <c r="I235" i="4"/>
  <c r="G107" i="32"/>
  <c r="G183" i="32"/>
  <c r="H59" i="32"/>
  <c r="L58" i="32"/>
  <c r="Q44" i="4"/>
  <c r="Q51" i="22"/>
  <c r="Q179" i="10"/>
  <c r="R28" i="4"/>
  <c r="M5" i="30"/>
  <c r="U176" i="10"/>
  <c r="U198" i="10"/>
  <c r="U166" i="10"/>
  <c r="U148" i="10"/>
  <c r="M12" i="15"/>
  <c r="U39" i="22"/>
  <c r="U58" i="22"/>
  <c r="U6" i="11"/>
  <c r="U53" i="11"/>
  <c r="H37" i="19"/>
  <c r="G90" i="13"/>
  <c r="H129" i="34"/>
  <c r="P58" i="13"/>
  <c r="P124" i="10"/>
  <c r="K65" i="13"/>
  <c r="L65" i="13"/>
  <c r="K58" i="13"/>
  <c r="K124" i="10"/>
  <c r="I58" i="13"/>
  <c r="I124" i="10"/>
  <c r="L58" i="13"/>
  <c r="L124" i="10"/>
  <c r="N58" i="13"/>
  <c r="N124" i="10"/>
  <c r="M58" i="13"/>
  <c r="M124" i="10"/>
  <c r="O58" i="13"/>
  <c r="O124" i="10"/>
  <c r="J58" i="13"/>
  <c r="J124" i="10"/>
  <c r="E237" i="4"/>
  <c r="N237" i="4"/>
  <c r="N236" i="4"/>
  <c r="Q97" i="10"/>
  <c r="Q16" i="4"/>
  <c r="P16" i="4"/>
  <c r="O16" i="4"/>
  <c r="N16" i="4"/>
  <c r="M16" i="4"/>
  <c r="P97" i="10"/>
  <c r="R41" i="4"/>
  <c r="S16" i="4"/>
  <c r="S97" i="10"/>
  <c r="S204" i="10"/>
  <c r="T97" i="10"/>
  <c r="T204" i="10"/>
  <c r="T16" i="4"/>
  <c r="H93" i="34"/>
  <c r="H107" i="34"/>
  <c r="G93" i="34"/>
  <c r="G107" i="34"/>
  <c r="R97" i="10"/>
  <c r="R204" i="10"/>
  <c r="R16" i="4"/>
  <c r="F93" i="34"/>
  <c r="F107" i="34"/>
  <c r="S49" i="13"/>
  <c r="S47" i="26"/>
  <c r="Q46" i="4"/>
  <c r="Q121" i="10"/>
  <c r="R45" i="11"/>
  <c r="R26" i="4"/>
  <c r="R51" i="9"/>
  <c r="R53" i="9"/>
  <c r="R55" i="9"/>
  <c r="R57" i="9"/>
  <c r="M48" i="11"/>
  <c r="M133" i="10"/>
  <c r="M59" i="11"/>
  <c r="K133" i="10"/>
  <c r="K59" i="11"/>
  <c r="K48" i="11"/>
  <c r="N193" i="10"/>
  <c r="N188" i="10"/>
  <c r="N61" i="22"/>
  <c r="N43" i="22"/>
  <c r="V15" i="29"/>
  <c r="V15" i="4"/>
  <c r="V15" i="13"/>
  <c r="V174" i="10"/>
  <c r="V146" i="10"/>
  <c r="V196" i="10"/>
  <c r="V15" i="26"/>
  <c r="V15" i="8"/>
  <c r="V15" i="9"/>
  <c r="V110" i="10"/>
  <c r="V96" i="10"/>
  <c r="J135" i="10"/>
  <c r="J61" i="11"/>
  <c r="J50" i="11"/>
  <c r="Q54" i="22"/>
  <c r="Q182" i="10"/>
  <c r="R43" i="13"/>
  <c r="S19" i="29"/>
  <c r="S67" i="29"/>
  <c r="S43" i="29"/>
  <c r="T13" i="29"/>
  <c r="L54" i="29"/>
  <c r="L55" i="22"/>
  <c r="O48" i="11"/>
  <c r="O133" i="10"/>
  <c r="O59" i="11"/>
  <c r="I48" i="11"/>
  <c r="I133" i="10"/>
  <c r="I59" i="11"/>
  <c r="O66" i="22"/>
  <c r="O183" i="10"/>
  <c r="O178" i="10"/>
  <c r="O50" i="22"/>
  <c r="O41" i="22"/>
  <c r="S47" i="9"/>
  <c r="S49" i="9"/>
  <c r="S51" i="9"/>
  <c r="S63" i="9"/>
  <c r="T13" i="9"/>
  <c r="S45" i="9"/>
  <c r="S76" i="9"/>
  <c r="S36" i="9"/>
  <c r="W116" i="10"/>
  <c r="X95" i="10"/>
  <c r="W92" i="10"/>
  <c r="W93" i="10"/>
  <c r="W94" i="10"/>
  <c r="P30" i="9"/>
  <c r="P58" i="9"/>
  <c r="S46" i="8"/>
  <c r="S49" i="8"/>
  <c r="S51" i="8"/>
  <c r="S19" i="8"/>
  <c r="S30" i="8"/>
  <c r="S62" i="8"/>
  <c r="T13" i="8"/>
  <c r="S67" i="26"/>
  <c r="T13" i="26"/>
  <c r="S30" i="26"/>
  <c r="S43" i="26"/>
  <c r="S19" i="26"/>
  <c r="K54" i="29"/>
  <c r="K55" i="22"/>
  <c r="L30" i="9"/>
  <c r="L58" i="9"/>
  <c r="J133" i="10"/>
  <c r="J59" i="11"/>
  <c r="J48" i="11"/>
  <c r="L48" i="11"/>
  <c r="L133" i="10"/>
  <c r="L59" i="11"/>
  <c r="Q48" i="11"/>
  <c r="P48" i="11"/>
  <c r="P133" i="10"/>
  <c r="P59" i="11"/>
  <c r="H53" i="34"/>
  <c r="E10" i="32"/>
  <c r="R44" i="4"/>
  <c r="R51" i="22"/>
  <c r="R179" i="10"/>
  <c r="S28" i="4"/>
  <c r="O30" i="9"/>
  <c r="O58" i="9"/>
  <c r="I54" i="29"/>
  <c r="I55" i="22"/>
  <c r="V39" i="22"/>
  <c r="V58" i="22"/>
  <c r="V198" i="10"/>
  <c r="N5" i="30"/>
  <c r="N12" i="15"/>
  <c r="V6" i="11"/>
  <c r="V53" i="11"/>
  <c r="V176" i="10"/>
  <c r="V166" i="10"/>
  <c r="V148" i="10"/>
  <c r="P54" i="29"/>
  <c r="P55" i="22"/>
  <c r="M32" i="9"/>
  <c r="M64" i="9"/>
  <c r="M126" i="10"/>
  <c r="M59" i="9"/>
  <c r="K58" i="9"/>
  <c r="K30" i="9"/>
  <c r="M193" i="10"/>
  <c r="M188" i="10"/>
  <c r="M61" i="22"/>
  <c r="M43" i="22"/>
  <c r="N133" i="10"/>
  <c r="N59" i="11"/>
  <c r="N48" i="11"/>
  <c r="J37" i="19"/>
  <c r="J38" i="19"/>
  <c r="J40" i="19"/>
  <c r="L37" i="29"/>
  <c r="H38" i="19"/>
  <c r="D59" i="32"/>
  <c r="I59" i="32"/>
  <c r="E59" i="32"/>
  <c r="G59" i="32"/>
  <c r="J59" i="32"/>
  <c r="G110" i="32"/>
  <c r="G186" i="32"/>
  <c r="F59" i="32"/>
  <c r="J54" i="29"/>
  <c r="J55" i="22"/>
  <c r="J37" i="29"/>
  <c r="S49" i="4"/>
  <c r="S25" i="4"/>
  <c r="T13" i="4"/>
  <c r="S24" i="4"/>
  <c r="S66" i="4"/>
  <c r="S20" i="4"/>
  <c r="N32" i="9"/>
  <c r="N64" i="9"/>
  <c r="N126" i="10"/>
  <c r="N59" i="9"/>
  <c r="I50" i="11"/>
  <c r="I135" i="10"/>
  <c r="I61" i="11"/>
  <c r="Q45" i="8"/>
  <c r="Q122" i="10"/>
  <c r="R46" i="11"/>
  <c r="R43" i="8"/>
  <c r="S30" i="13"/>
  <c r="S45" i="13"/>
  <c r="S67" i="13"/>
  <c r="T13" i="13"/>
  <c r="S47" i="13"/>
  <c r="S19" i="13"/>
  <c r="U15" i="26"/>
  <c r="U15" i="13"/>
  <c r="U15" i="29"/>
  <c r="U15" i="8"/>
  <c r="U146" i="10"/>
  <c r="U196" i="10"/>
  <c r="U174" i="10"/>
  <c r="U15" i="4"/>
  <c r="U110" i="10"/>
  <c r="U15" i="9"/>
  <c r="U96" i="10"/>
  <c r="R51" i="13"/>
  <c r="R53" i="13"/>
  <c r="R55" i="13"/>
  <c r="R16" i="9"/>
  <c r="R17" i="9"/>
  <c r="R69" i="9"/>
  <c r="R16" i="26"/>
  <c r="R98" i="10"/>
  <c r="R55" i="4"/>
  <c r="R16" i="13"/>
  <c r="R16" i="8"/>
  <c r="R16" i="29"/>
  <c r="R17" i="4"/>
  <c r="R18" i="4"/>
  <c r="Q16" i="26"/>
  <c r="Q17" i="4"/>
  <c r="Q18" i="4"/>
  <c r="Q16" i="9"/>
  <c r="Q17" i="9"/>
  <c r="Q69" i="9"/>
  <c r="Q70" i="9"/>
  <c r="Q16" i="29"/>
  <c r="Q16" i="13"/>
  <c r="Q98" i="10"/>
  <c r="Q16" i="8"/>
  <c r="I107" i="34"/>
  <c r="I93" i="34"/>
  <c r="S16" i="26"/>
  <c r="S16" i="29"/>
  <c r="S98" i="10"/>
  <c r="S16" i="9"/>
  <c r="S17" i="9"/>
  <c r="S69" i="9"/>
  <c r="S16" i="8"/>
  <c r="S17" i="4"/>
  <c r="S18" i="4"/>
  <c r="S16" i="13"/>
  <c r="J107" i="34"/>
  <c r="J93" i="34"/>
  <c r="T16" i="26"/>
  <c r="T16" i="13"/>
  <c r="T16" i="8"/>
  <c r="T17" i="4"/>
  <c r="T18" i="4"/>
  <c r="T98" i="10"/>
  <c r="T16" i="29"/>
  <c r="T16" i="9"/>
  <c r="T17" i="9"/>
  <c r="T69" i="9"/>
  <c r="P16" i="29"/>
  <c r="P16" i="26"/>
  <c r="P16" i="13"/>
  <c r="P98" i="10"/>
  <c r="P17" i="4"/>
  <c r="P16" i="9"/>
  <c r="P16" i="8"/>
  <c r="S41" i="4"/>
  <c r="R46" i="4"/>
  <c r="R121" i="10"/>
  <c r="S45" i="11"/>
  <c r="T47" i="26"/>
  <c r="T49" i="13"/>
  <c r="S26" i="4"/>
  <c r="R70" i="9"/>
  <c r="R71" i="9"/>
  <c r="R77" i="9"/>
  <c r="S51" i="13"/>
  <c r="S53" i="13"/>
  <c r="S53" i="9"/>
  <c r="S55" i="9"/>
  <c r="S57" i="9"/>
  <c r="R57" i="4"/>
  <c r="R60" i="4"/>
  <c r="R61" i="4"/>
  <c r="R62" i="4"/>
  <c r="L57" i="29"/>
  <c r="L125" i="10"/>
  <c r="U16" i="4"/>
  <c r="U204" i="10"/>
  <c r="U97" i="10"/>
  <c r="S44" i="4"/>
  <c r="S46" i="4"/>
  <c r="S121" i="10"/>
  <c r="T28" i="4"/>
  <c r="L32" i="9"/>
  <c r="L64" i="9"/>
  <c r="L126" i="10"/>
  <c r="L59" i="9"/>
  <c r="W15" i="13"/>
  <c r="W15" i="4"/>
  <c r="W146" i="10"/>
  <c r="W15" i="9"/>
  <c r="W110" i="10"/>
  <c r="W15" i="29"/>
  <c r="W174" i="10"/>
  <c r="W15" i="26"/>
  <c r="W196" i="10"/>
  <c r="W15" i="8"/>
  <c r="W96" i="10"/>
  <c r="I37" i="29"/>
  <c r="O37" i="29"/>
  <c r="N37" i="29"/>
  <c r="M37" i="29"/>
  <c r="P50" i="22"/>
  <c r="P41" i="22"/>
  <c r="P183" i="10"/>
  <c r="P178" i="10"/>
  <c r="P66" i="22"/>
  <c r="O59" i="9"/>
  <c r="O32" i="9"/>
  <c r="O64" i="9"/>
  <c r="O126" i="10"/>
  <c r="T62" i="8"/>
  <c r="T30" i="8"/>
  <c r="T19" i="8"/>
  <c r="T49" i="8"/>
  <c r="T51" i="8"/>
  <c r="T46" i="8"/>
  <c r="U13" i="8"/>
  <c r="O61" i="22"/>
  <c r="O43" i="22"/>
  <c r="O193" i="10"/>
  <c r="O188" i="10"/>
  <c r="R58" i="13"/>
  <c r="R124" i="10"/>
  <c r="S48" i="11"/>
  <c r="S55" i="13"/>
  <c r="N50" i="11"/>
  <c r="N135" i="10"/>
  <c r="N61" i="11"/>
  <c r="U13" i="4"/>
  <c r="T25" i="4"/>
  <c r="T49" i="4"/>
  <c r="T24" i="4"/>
  <c r="T66" i="4"/>
  <c r="T20" i="4"/>
  <c r="J50" i="22"/>
  <c r="J41" i="22"/>
  <c r="J183" i="10"/>
  <c r="J178" i="10"/>
  <c r="J66" i="22"/>
  <c r="O65" i="29"/>
  <c r="O20" i="29"/>
  <c r="P65" i="29"/>
  <c r="M65" i="29"/>
  <c r="M20" i="29"/>
  <c r="N65" i="29"/>
  <c r="N20" i="29"/>
  <c r="K65" i="29"/>
  <c r="L65" i="29"/>
  <c r="K59" i="9"/>
  <c r="K32" i="9"/>
  <c r="K64" i="9"/>
  <c r="K126" i="10"/>
  <c r="K183" i="10"/>
  <c r="K178" i="10"/>
  <c r="K66" i="22"/>
  <c r="K50" i="22"/>
  <c r="K41" i="22"/>
  <c r="P59" i="9"/>
  <c r="Q59" i="9"/>
  <c r="P32" i="9"/>
  <c r="P64" i="9"/>
  <c r="P126" i="10"/>
  <c r="W198" i="10"/>
  <c r="O12" i="15"/>
  <c r="W176" i="10"/>
  <c r="W148" i="10"/>
  <c r="O5" i="30"/>
  <c r="W39" i="22"/>
  <c r="W58" i="22"/>
  <c r="W166" i="10"/>
  <c r="W6" i="11"/>
  <c r="W53" i="11"/>
  <c r="T76" i="9"/>
  <c r="T45" i="9"/>
  <c r="T63" i="9"/>
  <c r="T47" i="9"/>
  <c r="T49" i="9"/>
  <c r="T51" i="9"/>
  <c r="T36" i="9"/>
  <c r="U13" i="9"/>
  <c r="T19" i="29"/>
  <c r="U13" i="29"/>
  <c r="T43" i="29"/>
  <c r="T67" i="29"/>
  <c r="S43" i="13"/>
  <c r="R54" i="22"/>
  <c r="R182" i="10"/>
  <c r="V204" i="10"/>
  <c r="V97" i="10"/>
  <c r="V16" i="4"/>
  <c r="P37" i="29"/>
  <c r="T67" i="13"/>
  <c r="T45" i="13"/>
  <c r="U13" i="13"/>
  <c r="T30" i="13"/>
  <c r="T47" i="13"/>
  <c r="T51" i="13"/>
  <c r="T53" i="13"/>
  <c r="T19" i="13"/>
  <c r="R45" i="8"/>
  <c r="R122" i="10"/>
  <c r="S46" i="11"/>
  <c r="S43" i="8"/>
  <c r="S45" i="8"/>
  <c r="S122" i="10"/>
  <c r="T46" i="11"/>
  <c r="J57" i="29"/>
  <c r="J125" i="10"/>
  <c r="J39" i="29"/>
  <c r="M135" i="10"/>
  <c r="M61" i="11"/>
  <c r="M50" i="11"/>
  <c r="I183" i="10"/>
  <c r="I178" i="10"/>
  <c r="I50" i="22"/>
  <c r="I41" i="22"/>
  <c r="I66" i="22"/>
  <c r="T67" i="26"/>
  <c r="T19" i="26"/>
  <c r="T30" i="26"/>
  <c r="T43" i="26"/>
  <c r="U13" i="26"/>
  <c r="X93" i="10"/>
  <c r="X116" i="10"/>
  <c r="X92" i="10"/>
  <c r="Y95" i="10"/>
  <c r="L183" i="10"/>
  <c r="L178" i="10"/>
  <c r="L50" i="22"/>
  <c r="L41" i="22"/>
  <c r="L66" i="22"/>
  <c r="K37" i="29"/>
  <c r="T41" i="4"/>
  <c r="S55" i="4"/>
  <c r="S57" i="4"/>
  <c r="S60" i="4"/>
  <c r="O17" i="4"/>
  <c r="P18" i="4"/>
  <c r="P17" i="29"/>
  <c r="O17" i="29"/>
  <c r="N17" i="29"/>
  <c r="M17" i="29"/>
  <c r="P18" i="29"/>
  <c r="P21" i="29"/>
  <c r="O16" i="29"/>
  <c r="T17" i="8"/>
  <c r="Q17" i="13"/>
  <c r="Q17" i="26"/>
  <c r="R17" i="29"/>
  <c r="R17" i="26"/>
  <c r="P17" i="9"/>
  <c r="O17" i="9"/>
  <c r="N17" i="9"/>
  <c r="M17" i="9"/>
  <c r="O16" i="9"/>
  <c r="N16" i="9"/>
  <c r="M16" i="9"/>
  <c r="O16" i="26"/>
  <c r="P17" i="26"/>
  <c r="S17" i="8"/>
  <c r="S17" i="26"/>
  <c r="Q73" i="9"/>
  <c r="Q65" i="13"/>
  <c r="Q20" i="13"/>
  <c r="Q22" i="13"/>
  <c r="Q60" i="8"/>
  <c r="Q18" i="8"/>
  <c r="Q21" i="8"/>
  <c r="Q55" i="8"/>
  <c r="Q57" i="8"/>
  <c r="Q59" i="8"/>
  <c r="Q63" i="8"/>
  <c r="Q65" i="26"/>
  <c r="Q20" i="26"/>
  <c r="Q22" i="26"/>
  <c r="Q65" i="29"/>
  <c r="Q20" i="29"/>
  <c r="Q22" i="29"/>
  <c r="Q55" i="4"/>
  <c r="Q57" i="4"/>
  <c r="Q60" i="4"/>
  <c r="Q61" i="4"/>
  <c r="R73" i="9"/>
  <c r="R65" i="13"/>
  <c r="R20" i="13"/>
  <c r="R22" i="13"/>
  <c r="R60" i="8"/>
  <c r="R65" i="26"/>
  <c r="R20" i="26"/>
  <c r="R22" i="26"/>
  <c r="R65" i="29"/>
  <c r="R20" i="29"/>
  <c r="R22" i="29"/>
  <c r="P17" i="8"/>
  <c r="O16" i="8"/>
  <c r="N16" i="8"/>
  <c r="M16" i="8"/>
  <c r="P17" i="13"/>
  <c r="O16" i="13"/>
  <c r="T73" i="9"/>
  <c r="T65" i="13"/>
  <c r="T60" i="8"/>
  <c r="T65" i="26"/>
  <c r="T65" i="29"/>
  <c r="T17" i="26"/>
  <c r="S17" i="29"/>
  <c r="Q17" i="8"/>
  <c r="Q71" i="9"/>
  <c r="Q77" i="9"/>
  <c r="Q79" i="9"/>
  <c r="Q80" i="9"/>
  <c r="Q72" i="9"/>
  <c r="R17" i="13"/>
  <c r="T17" i="29"/>
  <c r="T17" i="13"/>
  <c r="S17" i="13"/>
  <c r="S65" i="13"/>
  <c r="S20" i="13"/>
  <c r="S22" i="13"/>
  <c r="S73" i="9"/>
  <c r="S65" i="26"/>
  <c r="S20" i="26"/>
  <c r="S22" i="26"/>
  <c r="S60" i="8"/>
  <c r="S65" i="29"/>
  <c r="S20" i="29"/>
  <c r="S22" i="29"/>
  <c r="Q17" i="29"/>
  <c r="R17" i="8"/>
  <c r="R18" i="8"/>
  <c r="R21" i="8"/>
  <c r="R55" i="8"/>
  <c r="R57" i="8"/>
  <c r="R59" i="8"/>
  <c r="R63" i="8"/>
  <c r="R72" i="9"/>
  <c r="S51" i="22"/>
  <c r="S179" i="10"/>
  <c r="T20" i="29"/>
  <c r="T22" i="29"/>
  <c r="X94" i="10"/>
  <c r="X15" i="8"/>
  <c r="S61" i="4"/>
  <c r="T20" i="13"/>
  <c r="T22" i="13"/>
  <c r="R64" i="4"/>
  <c r="R68" i="4"/>
  <c r="R71" i="4"/>
  <c r="R72" i="4"/>
  <c r="R73" i="4"/>
  <c r="R62" i="22"/>
  <c r="S70" i="9"/>
  <c r="T53" i="9"/>
  <c r="T55" i="9"/>
  <c r="T57" i="9"/>
  <c r="R18" i="13"/>
  <c r="R21" i="13"/>
  <c r="R60" i="13"/>
  <c r="R64" i="13"/>
  <c r="R68" i="13"/>
  <c r="Q18" i="29"/>
  <c r="Q21" i="29"/>
  <c r="T20" i="26"/>
  <c r="T22" i="26"/>
  <c r="T18" i="13"/>
  <c r="T21" i="13"/>
  <c r="T60" i="13"/>
  <c r="L193" i="10"/>
  <c r="L188" i="10"/>
  <c r="L61" i="22"/>
  <c r="L43" i="22"/>
  <c r="X174" i="10"/>
  <c r="X15" i="13"/>
  <c r="X196" i="10"/>
  <c r="X15" i="29"/>
  <c r="X15" i="4"/>
  <c r="X15" i="9"/>
  <c r="X15" i="26"/>
  <c r="X96" i="10"/>
  <c r="T43" i="13"/>
  <c r="S54" i="22"/>
  <c r="S182" i="10"/>
  <c r="R59" i="9"/>
  <c r="R79" i="9"/>
  <c r="R80" i="9"/>
  <c r="R81" i="9"/>
  <c r="Q64" i="9"/>
  <c r="Q126" i="10"/>
  <c r="R50" i="11"/>
  <c r="K50" i="11"/>
  <c r="K135" i="10"/>
  <c r="K61" i="11"/>
  <c r="J61" i="22"/>
  <c r="J43" i="22"/>
  <c r="J193" i="10"/>
  <c r="J188" i="10"/>
  <c r="U24" i="4"/>
  <c r="U20" i="4"/>
  <c r="U25" i="4"/>
  <c r="U49" i="4"/>
  <c r="U66" i="4"/>
  <c r="V13" i="4"/>
  <c r="M39" i="29"/>
  <c r="M57" i="29"/>
  <c r="M125" i="10"/>
  <c r="W97" i="10"/>
  <c r="W16" i="4"/>
  <c r="W204" i="10"/>
  <c r="L50" i="11"/>
  <c r="L135" i="10"/>
  <c r="L61" i="11"/>
  <c r="L120" i="10"/>
  <c r="L49" i="11"/>
  <c r="L134" i="10"/>
  <c r="L60" i="11"/>
  <c r="Y116" i="10"/>
  <c r="Y93" i="10"/>
  <c r="Z95" i="10"/>
  <c r="Y92" i="10"/>
  <c r="Y94" i="10"/>
  <c r="U30" i="26"/>
  <c r="U43" i="26"/>
  <c r="V13" i="26"/>
  <c r="U67" i="26"/>
  <c r="U19" i="26"/>
  <c r="I61" i="22"/>
  <c r="I43" i="22"/>
  <c r="I193" i="10"/>
  <c r="I188" i="10"/>
  <c r="U30" i="13"/>
  <c r="U47" i="13"/>
  <c r="U45" i="13"/>
  <c r="U67" i="13"/>
  <c r="V13" i="13"/>
  <c r="U19" i="13"/>
  <c r="U67" i="29"/>
  <c r="V13" i="29"/>
  <c r="U19" i="29"/>
  <c r="U43" i="29"/>
  <c r="E12" i="32"/>
  <c r="J53" i="34"/>
  <c r="Q50" i="11"/>
  <c r="P50" i="11"/>
  <c r="P135" i="10"/>
  <c r="P61" i="11"/>
  <c r="S58" i="13"/>
  <c r="S124" i="10"/>
  <c r="T48" i="11"/>
  <c r="T55" i="13"/>
  <c r="O50" i="11"/>
  <c r="O135" i="10"/>
  <c r="O61" i="11"/>
  <c r="I57" i="29"/>
  <c r="I125" i="10"/>
  <c r="I39" i="29"/>
  <c r="U16" i="29"/>
  <c r="U17" i="29"/>
  <c r="U17" i="4"/>
  <c r="U18" i="4"/>
  <c r="U16" i="13"/>
  <c r="U98" i="10"/>
  <c r="U16" i="26"/>
  <c r="U17" i="26"/>
  <c r="U16" i="9"/>
  <c r="U17" i="9"/>
  <c r="U69" i="9"/>
  <c r="U16" i="8"/>
  <c r="U17" i="8"/>
  <c r="U47" i="26"/>
  <c r="T43" i="8"/>
  <c r="L39" i="29"/>
  <c r="P39" i="29"/>
  <c r="P57" i="29"/>
  <c r="P125" i="10"/>
  <c r="K193" i="10"/>
  <c r="K188" i="10"/>
  <c r="K61" i="22"/>
  <c r="K43" i="22"/>
  <c r="P20" i="29"/>
  <c r="P22" i="29"/>
  <c r="G94" i="29"/>
  <c r="O57" i="29"/>
  <c r="O125" i="10"/>
  <c r="O39" i="29"/>
  <c r="U49" i="13"/>
  <c r="K39" i="29"/>
  <c r="K57" i="29"/>
  <c r="K125" i="10"/>
  <c r="P12" i="15"/>
  <c r="X198" i="10"/>
  <c r="X39" i="22"/>
  <c r="X58" i="22"/>
  <c r="X148" i="10"/>
  <c r="X166" i="10"/>
  <c r="X176" i="10"/>
  <c r="X6" i="11"/>
  <c r="X53" i="11"/>
  <c r="P5" i="30"/>
  <c r="J134" i="10"/>
  <c r="J60" i="11"/>
  <c r="J74" i="11"/>
  <c r="J120" i="10"/>
  <c r="J49" i="11"/>
  <c r="V16" i="9"/>
  <c r="V17" i="9"/>
  <c r="V69" i="9"/>
  <c r="V16" i="13"/>
  <c r="V16" i="29"/>
  <c r="V16" i="26"/>
  <c r="V16" i="8"/>
  <c r="V17" i="8"/>
  <c r="V98" i="10"/>
  <c r="V17" i="4"/>
  <c r="V18" i="4"/>
  <c r="U63" i="9"/>
  <c r="U45" i="9"/>
  <c r="U36" i="9"/>
  <c r="U47" i="9"/>
  <c r="U49" i="9"/>
  <c r="V13" i="9"/>
  <c r="U76" i="9"/>
  <c r="U46" i="8"/>
  <c r="U49" i="8"/>
  <c r="U51" i="8"/>
  <c r="U19" i="8"/>
  <c r="U62" i="8"/>
  <c r="V13" i="8"/>
  <c r="U30" i="8"/>
  <c r="P61" i="22"/>
  <c r="P43" i="22"/>
  <c r="P193" i="10"/>
  <c r="P188" i="10"/>
  <c r="N57" i="29"/>
  <c r="N125" i="10"/>
  <c r="N39" i="29"/>
  <c r="T44" i="4"/>
  <c r="U28" i="4"/>
  <c r="T26" i="4"/>
  <c r="S20" i="8"/>
  <c r="S22" i="8"/>
  <c r="T62" i="13"/>
  <c r="T64" i="13"/>
  <c r="Q81" i="9"/>
  <c r="Q67" i="22"/>
  <c r="O17" i="26"/>
  <c r="P65" i="26"/>
  <c r="T18" i="26"/>
  <c r="T21" i="26"/>
  <c r="T45" i="11"/>
  <c r="T20" i="8"/>
  <c r="T22" i="8"/>
  <c r="Q62" i="4"/>
  <c r="Q63" i="4"/>
  <c r="Q64" i="4"/>
  <c r="Q68" i="4"/>
  <c r="Q71" i="4"/>
  <c r="Q72" i="4"/>
  <c r="Q73" i="4"/>
  <c r="O18" i="29"/>
  <c r="O21" i="29"/>
  <c r="N16" i="29"/>
  <c r="O22" i="29"/>
  <c r="N17" i="4"/>
  <c r="O18" i="4"/>
  <c r="U41" i="4"/>
  <c r="T55" i="4"/>
  <c r="T57" i="4"/>
  <c r="T60" i="4"/>
  <c r="S18" i="13"/>
  <c r="S21" i="13"/>
  <c r="S60" i="13"/>
  <c r="T18" i="29"/>
  <c r="T21" i="29"/>
  <c r="R18" i="26"/>
  <c r="R21" i="26"/>
  <c r="Q18" i="26"/>
  <c r="Q21" i="26"/>
  <c r="P65" i="13"/>
  <c r="O17" i="13"/>
  <c r="Q20" i="8"/>
  <c r="Q22" i="8"/>
  <c r="S64" i="4"/>
  <c r="S68" i="4"/>
  <c r="S71" i="4"/>
  <c r="S72" i="4"/>
  <c r="S73" i="4"/>
  <c r="S62" i="4"/>
  <c r="S63" i="4"/>
  <c r="S18" i="29"/>
  <c r="S21" i="29"/>
  <c r="S18" i="8"/>
  <c r="S21" i="8"/>
  <c r="S55" i="8"/>
  <c r="S57" i="8"/>
  <c r="S59" i="8"/>
  <c r="S63" i="8"/>
  <c r="R64" i="8"/>
  <c r="Q64" i="8"/>
  <c r="N16" i="13"/>
  <c r="O17" i="8"/>
  <c r="P60" i="8"/>
  <c r="Q63" i="22"/>
  <c r="Q190" i="10"/>
  <c r="R20" i="8"/>
  <c r="R22" i="8"/>
  <c r="N16" i="26"/>
  <c r="S18" i="26"/>
  <c r="S21" i="26"/>
  <c r="R18" i="29"/>
  <c r="R21" i="29"/>
  <c r="Q18" i="13"/>
  <c r="Q21" i="13"/>
  <c r="Q60" i="13"/>
  <c r="T18" i="8"/>
  <c r="T21" i="8"/>
  <c r="T55" i="8"/>
  <c r="T57" i="8"/>
  <c r="T59" i="8"/>
  <c r="T68" i="13"/>
  <c r="T65" i="22"/>
  <c r="R74" i="4"/>
  <c r="R77" i="4"/>
  <c r="R62" i="13"/>
  <c r="X110" i="10"/>
  <c r="X146" i="10"/>
  <c r="R67" i="22"/>
  <c r="R194" i="10"/>
  <c r="S72" i="9"/>
  <c r="S71" i="9"/>
  <c r="S77" i="9"/>
  <c r="T70" i="9"/>
  <c r="T72" i="9"/>
  <c r="V49" i="13"/>
  <c r="T63" i="8"/>
  <c r="T63" i="22"/>
  <c r="T190" i="10"/>
  <c r="L74" i="11"/>
  <c r="T61" i="4"/>
  <c r="T64" i="4"/>
  <c r="T68" i="4"/>
  <c r="T71" i="4"/>
  <c r="T72" i="4"/>
  <c r="T73" i="4"/>
  <c r="V47" i="26"/>
  <c r="R63" i="4"/>
  <c r="R52" i="22"/>
  <c r="R180" i="10"/>
  <c r="U51" i="9"/>
  <c r="U53" i="9"/>
  <c r="U55" i="9"/>
  <c r="U57" i="9"/>
  <c r="V17" i="29"/>
  <c r="J44" i="11"/>
  <c r="J129" i="10"/>
  <c r="J7" i="11"/>
  <c r="O134" i="10"/>
  <c r="O60" i="11"/>
  <c r="O74" i="11"/>
  <c r="O49" i="11"/>
  <c r="O120" i="10"/>
  <c r="U43" i="8"/>
  <c r="T45" i="8"/>
  <c r="T122" i="10"/>
  <c r="U46" i="11"/>
  <c r="Y196" i="10"/>
  <c r="Y15" i="29"/>
  <c r="Y174" i="10"/>
  <c r="Y146" i="10"/>
  <c r="Y15" i="4"/>
  <c r="Y15" i="8"/>
  <c r="Y15" i="9"/>
  <c r="Y15" i="26"/>
  <c r="Y15" i="13"/>
  <c r="Y110" i="10"/>
  <c r="Y96" i="10"/>
  <c r="M49" i="11"/>
  <c r="M120" i="10"/>
  <c r="M134" i="10"/>
  <c r="M60" i="11"/>
  <c r="M74" i="11"/>
  <c r="X204" i="10"/>
  <c r="X16" i="4"/>
  <c r="X97" i="10"/>
  <c r="U51" i="13"/>
  <c r="U53" i="13"/>
  <c r="U55" i="13"/>
  <c r="T46" i="4"/>
  <c r="T121" i="10"/>
  <c r="U45" i="11"/>
  <c r="T51" i="22"/>
  <c r="T179" i="10"/>
  <c r="V47" i="9"/>
  <c r="V49" i="9"/>
  <c r="V45" i="9"/>
  <c r="V76" i="9"/>
  <c r="V36" i="9"/>
  <c r="V63" i="9"/>
  <c r="W13" i="9"/>
  <c r="V17" i="26"/>
  <c r="Y6" i="11"/>
  <c r="Y53" i="11"/>
  <c r="Y198" i="10"/>
  <c r="Y176" i="10"/>
  <c r="Y148" i="10"/>
  <c r="Y39" i="22"/>
  <c r="Y58" i="22"/>
  <c r="Q5" i="30"/>
  <c r="Q12" i="15"/>
  <c r="Y166" i="10"/>
  <c r="W16" i="29"/>
  <c r="W98" i="10"/>
  <c r="W16" i="13"/>
  <c r="W17" i="4"/>
  <c r="W18" i="4"/>
  <c r="W16" i="8"/>
  <c r="W16" i="9"/>
  <c r="W17" i="9"/>
  <c r="W69" i="9"/>
  <c r="W16" i="26"/>
  <c r="U43" i="13"/>
  <c r="T54" i="22"/>
  <c r="T182" i="10"/>
  <c r="R63" i="22"/>
  <c r="R190" i="10"/>
  <c r="U26" i="4"/>
  <c r="U44" i="4"/>
  <c r="U51" i="22"/>
  <c r="V28" i="4"/>
  <c r="K49" i="11"/>
  <c r="K120" i="10"/>
  <c r="K134" i="10"/>
  <c r="K60" i="11"/>
  <c r="K74" i="11"/>
  <c r="U17" i="13"/>
  <c r="I49" i="11"/>
  <c r="I120" i="10"/>
  <c r="J127" i="10"/>
  <c r="I134" i="10"/>
  <c r="I60" i="11"/>
  <c r="I74" i="11"/>
  <c r="W13" i="29"/>
  <c r="V43" i="29"/>
  <c r="V67" i="29"/>
  <c r="V19" i="29"/>
  <c r="V67" i="26"/>
  <c r="W13" i="26"/>
  <c r="V19" i="26"/>
  <c r="V30" i="26"/>
  <c r="V43" i="26"/>
  <c r="L129" i="10"/>
  <c r="L7" i="11"/>
  <c r="L44" i="11"/>
  <c r="V66" i="4"/>
  <c r="V20" i="4"/>
  <c r="V25" i="4"/>
  <c r="V49" i="4"/>
  <c r="W13" i="4"/>
  <c r="V24" i="4"/>
  <c r="N120" i="10"/>
  <c r="N49" i="11"/>
  <c r="N134" i="10"/>
  <c r="N60" i="11"/>
  <c r="N74" i="11"/>
  <c r="V49" i="8"/>
  <c r="V51" i="8"/>
  <c r="V30" i="8"/>
  <c r="W13" i="8"/>
  <c r="V46" i="8"/>
  <c r="V19" i="8"/>
  <c r="V62" i="8"/>
  <c r="V60" i="8"/>
  <c r="V18" i="8"/>
  <c r="V65" i="26"/>
  <c r="V65" i="13"/>
  <c r="V18" i="13"/>
  <c r="V73" i="9"/>
  <c r="V65" i="29"/>
  <c r="V17" i="13"/>
  <c r="P134" i="10"/>
  <c r="P60" i="11"/>
  <c r="P74" i="11"/>
  <c r="Q49" i="11"/>
  <c r="P49" i="11"/>
  <c r="I53" i="34"/>
  <c r="P120" i="10"/>
  <c r="H125" i="10"/>
  <c r="C18" i="31"/>
  <c r="E11" i="32"/>
  <c r="U65" i="26"/>
  <c r="U60" i="8"/>
  <c r="U65" i="13"/>
  <c r="U20" i="13"/>
  <c r="U22" i="13"/>
  <c r="U73" i="9"/>
  <c r="U65" i="29"/>
  <c r="T58" i="13"/>
  <c r="T124" i="10"/>
  <c r="U48" i="11"/>
  <c r="V45" i="13"/>
  <c r="V67" i="13"/>
  <c r="V47" i="13"/>
  <c r="W13" i="13"/>
  <c r="V30" i="13"/>
  <c r="V19" i="13"/>
  <c r="Z116" i="10"/>
  <c r="AA95" i="10"/>
  <c r="Z93" i="10"/>
  <c r="Z92" i="10"/>
  <c r="S59" i="9"/>
  <c r="R64" i="9"/>
  <c r="R126" i="10"/>
  <c r="S50" i="11"/>
  <c r="P20" i="8"/>
  <c r="P22" i="8"/>
  <c r="P18" i="8"/>
  <c r="P21" i="8"/>
  <c r="P55" i="8"/>
  <c r="P57" i="8"/>
  <c r="Q66" i="8"/>
  <c r="Q67" i="8"/>
  <c r="Q65" i="8"/>
  <c r="Q131" i="10"/>
  <c r="O65" i="13"/>
  <c r="N17" i="13"/>
  <c r="V41" i="4"/>
  <c r="U55" i="4"/>
  <c r="U57" i="4"/>
  <c r="U60" i="4"/>
  <c r="N18" i="29"/>
  <c r="N21" i="29"/>
  <c r="M16" i="29"/>
  <c r="N22" i="29"/>
  <c r="N17" i="26"/>
  <c r="O65" i="26"/>
  <c r="Q52" i="22"/>
  <c r="M16" i="13"/>
  <c r="R131" i="10"/>
  <c r="R66" i="8"/>
  <c r="R65" i="8"/>
  <c r="R67" i="8"/>
  <c r="S64" i="8"/>
  <c r="S63" i="22"/>
  <c r="S190" i="10"/>
  <c r="P20" i="26"/>
  <c r="P22" i="26"/>
  <c r="P18" i="26"/>
  <c r="P21" i="26"/>
  <c r="P60" i="26"/>
  <c r="T52" i="22"/>
  <c r="S52" i="22"/>
  <c r="Q64" i="13"/>
  <c r="Q68" i="13"/>
  <c r="Q62" i="13"/>
  <c r="M16" i="26"/>
  <c r="M17" i="4"/>
  <c r="M18" i="4"/>
  <c r="N18" i="4"/>
  <c r="Q62" i="22"/>
  <c r="Q74" i="4"/>
  <c r="Q83" i="9"/>
  <c r="Q135" i="10"/>
  <c r="Q82" i="9"/>
  <c r="Q84" i="9"/>
  <c r="R84" i="9"/>
  <c r="R83" i="9"/>
  <c r="R135" i="10"/>
  <c r="U46" i="4"/>
  <c r="U121" i="10"/>
  <c r="O18" i="8"/>
  <c r="O21" i="8"/>
  <c r="O55" i="8"/>
  <c r="O57" i="8"/>
  <c r="N17" i="8"/>
  <c r="O60" i="8"/>
  <c r="O20" i="8"/>
  <c r="O22" i="8"/>
  <c r="S74" i="4"/>
  <c r="S62" i="22"/>
  <c r="P20" i="13"/>
  <c r="P22" i="13"/>
  <c r="P18" i="13"/>
  <c r="P21" i="13"/>
  <c r="P60" i="13"/>
  <c r="P62" i="13"/>
  <c r="S62" i="13"/>
  <c r="S64" i="13"/>
  <c r="S68" i="13"/>
  <c r="R69" i="13"/>
  <c r="R65" i="22"/>
  <c r="R189" i="10"/>
  <c r="R70" i="22"/>
  <c r="Q75" i="22"/>
  <c r="Q194" i="10"/>
  <c r="K53" i="34"/>
  <c r="K50" i="34"/>
  <c r="K51" i="34"/>
  <c r="T69" i="13"/>
  <c r="T71" i="13"/>
  <c r="R75" i="22"/>
  <c r="R76" i="4"/>
  <c r="R75" i="4"/>
  <c r="R130" i="10"/>
  <c r="R159" i="10"/>
  <c r="Z94" i="10"/>
  <c r="Z15" i="9"/>
  <c r="V51" i="13"/>
  <c r="V53" i="13"/>
  <c r="U61" i="4"/>
  <c r="T64" i="8"/>
  <c r="T66" i="8"/>
  <c r="T71" i="9"/>
  <c r="T77" i="9"/>
  <c r="R71" i="22"/>
  <c r="T62" i="4"/>
  <c r="T63" i="4"/>
  <c r="U70" i="9"/>
  <c r="U71" i="9"/>
  <c r="U77" i="9"/>
  <c r="U52" i="22"/>
  <c r="U180" i="10"/>
  <c r="W47" i="26"/>
  <c r="V20" i="29"/>
  <c r="V22" i="29"/>
  <c r="V21" i="13"/>
  <c r="V60" i="13"/>
  <c r="V62" i="13"/>
  <c r="V20" i="8"/>
  <c r="V22" i="8"/>
  <c r="R82" i="9"/>
  <c r="V20" i="26"/>
  <c r="V22" i="26"/>
  <c r="L127" i="10"/>
  <c r="V51" i="9"/>
  <c r="V53" i="9"/>
  <c r="T59" i="9"/>
  <c r="S64" i="9"/>
  <c r="S126" i="10"/>
  <c r="T50" i="11"/>
  <c r="S79" i="9"/>
  <c r="S80" i="9"/>
  <c r="R12" i="15"/>
  <c r="R5" i="30"/>
  <c r="Z198" i="10"/>
  <c r="Z166" i="10"/>
  <c r="J87" i="34"/>
  <c r="Z148" i="10"/>
  <c r="Z176" i="10"/>
  <c r="Z6" i="11"/>
  <c r="Z53" i="11"/>
  <c r="Z39" i="22"/>
  <c r="Z58" i="22"/>
  <c r="V55" i="13"/>
  <c r="U58" i="13"/>
  <c r="U124" i="10"/>
  <c r="V48" i="11"/>
  <c r="U20" i="8"/>
  <c r="U22" i="8"/>
  <c r="U18" i="8"/>
  <c r="U21" i="8"/>
  <c r="U55" i="8"/>
  <c r="U57" i="8"/>
  <c r="U59" i="8"/>
  <c r="U63" i="8"/>
  <c r="F124" i="10"/>
  <c r="P127" i="10"/>
  <c r="F123" i="10"/>
  <c r="F126" i="10"/>
  <c r="P129" i="10"/>
  <c r="P44" i="11"/>
  <c r="F122" i="10"/>
  <c r="H123" i="10"/>
  <c r="C16" i="31"/>
  <c r="P150" i="10"/>
  <c r="Q44" i="11"/>
  <c r="H121" i="10"/>
  <c r="C14" i="31"/>
  <c r="H122" i="10"/>
  <c r="C15" i="31"/>
  <c r="F125" i="10"/>
  <c r="P7" i="11"/>
  <c r="H124" i="10"/>
  <c r="C17" i="31"/>
  <c r="F121" i="10"/>
  <c r="H126" i="10"/>
  <c r="C19" i="31"/>
  <c r="N7" i="11"/>
  <c r="N127" i="10"/>
  <c r="N44" i="11"/>
  <c r="N129" i="10"/>
  <c r="W17" i="26"/>
  <c r="W17" i="13"/>
  <c r="G125" i="10"/>
  <c r="V18" i="26"/>
  <c r="V21" i="26"/>
  <c r="AA92" i="10"/>
  <c r="AA116" i="10"/>
  <c r="AA93" i="10"/>
  <c r="AB95" i="10"/>
  <c r="W45" i="13"/>
  <c r="W47" i="13"/>
  <c r="W67" i="13"/>
  <c r="W30" i="13"/>
  <c r="X13" i="13"/>
  <c r="W19" i="13"/>
  <c r="W62" i="8"/>
  <c r="W46" i="8"/>
  <c r="X13" i="8"/>
  <c r="W49" i="8"/>
  <c r="W51" i="8"/>
  <c r="W30" i="8"/>
  <c r="W19" i="8"/>
  <c r="W66" i="4"/>
  <c r="X13" i="4"/>
  <c r="W25" i="4"/>
  <c r="W49" i="4"/>
  <c r="W20" i="4"/>
  <c r="W24" i="4"/>
  <c r="W19" i="29"/>
  <c r="W43" i="29"/>
  <c r="W67" i="29"/>
  <c r="X13" i="29"/>
  <c r="K7" i="11"/>
  <c r="K127" i="10"/>
  <c r="K129" i="10"/>
  <c r="K44" i="11"/>
  <c r="U54" i="22"/>
  <c r="U182" i="10"/>
  <c r="V43" i="13"/>
  <c r="X16" i="8"/>
  <c r="X16" i="9"/>
  <c r="X17" i="9"/>
  <c r="X69" i="9"/>
  <c r="X16" i="13"/>
  <c r="X16" i="29"/>
  <c r="X17" i="4"/>
  <c r="X18" i="4"/>
  <c r="X16" i="26"/>
  <c r="X98" i="10"/>
  <c r="M127" i="10"/>
  <c r="M7" i="11"/>
  <c r="M129" i="10"/>
  <c r="M44" i="11"/>
  <c r="V21" i="8"/>
  <c r="V55" i="8"/>
  <c r="V57" i="8"/>
  <c r="V59" i="8"/>
  <c r="E13" i="32"/>
  <c r="F11" i="32"/>
  <c r="L9" i="11"/>
  <c r="L55" i="11"/>
  <c r="L158" i="10"/>
  <c r="W30" i="26"/>
  <c r="W43" i="26"/>
  <c r="X13" i="26"/>
  <c r="W19" i="26"/>
  <c r="W67" i="26"/>
  <c r="I129" i="10"/>
  <c r="G121" i="10"/>
  <c r="I7" i="11"/>
  <c r="G124" i="10"/>
  <c r="G126" i="10"/>
  <c r="G123" i="10"/>
  <c r="I44" i="11"/>
  <c r="G122" i="10"/>
  <c r="W17" i="8"/>
  <c r="W17" i="29"/>
  <c r="O44" i="11"/>
  <c r="O7" i="11"/>
  <c r="O129" i="10"/>
  <c r="O127" i="10"/>
  <c r="J158" i="10"/>
  <c r="J55" i="11"/>
  <c r="J9" i="11"/>
  <c r="V26" i="4"/>
  <c r="W49" i="13"/>
  <c r="V18" i="29"/>
  <c r="V21" i="29"/>
  <c r="Z146" i="10"/>
  <c r="Z15" i="8"/>
  <c r="Z96" i="10"/>
  <c r="U20" i="29"/>
  <c r="U22" i="29"/>
  <c r="U18" i="29"/>
  <c r="U21" i="29"/>
  <c r="U20" i="26"/>
  <c r="U22" i="26"/>
  <c r="U18" i="26"/>
  <c r="U21" i="26"/>
  <c r="V44" i="4"/>
  <c r="W28" i="4"/>
  <c r="W60" i="8"/>
  <c r="W18" i="8"/>
  <c r="W65" i="26"/>
  <c r="W65" i="13"/>
  <c r="W73" i="9"/>
  <c r="W65" i="29"/>
  <c r="W45" i="9"/>
  <c r="W47" i="9"/>
  <c r="W49" i="9"/>
  <c r="W76" i="9"/>
  <c r="W36" i="9"/>
  <c r="X13" i="9"/>
  <c r="W63" i="9"/>
  <c r="Y97" i="10"/>
  <c r="Y16" i="4"/>
  <c r="Y204" i="10"/>
  <c r="V43" i="8"/>
  <c r="U45" i="8"/>
  <c r="U122" i="10"/>
  <c r="V46" i="11"/>
  <c r="V20" i="13"/>
  <c r="V22" i="13"/>
  <c r="U18" i="13"/>
  <c r="U21" i="13"/>
  <c r="U60" i="13"/>
  <c r="N18" i="8"/>
  <c r="N21" i="8"/>
  <c r="N55" i="8"/>
  <c r="N57" i="8"/>
  <c r="M17" i="8"/>
  <c r="N60" i="8"/>
  <c r="N20" i="8"/>
  <c r="N22" i="8"/>
  <c r="S189" i="10"/>
  <c r="S70" i="22"/>
  <c r="Q189" i="10"/>
  <c r="Q70" i="22"/>
  <c r="S71" i="22"/>
  <c r="S180" i="10"/>
  <c r="K36" i="26"/>
  <c r="K41" i="26"/>
  <c r="P62" i="26"/>
  <c r="M18" i="29"/>
  <c r="M21" i="29"/>
  <c r="M22" i="29"/>
  <c r="M17" i="13"/>
  <c r="M65" i="13"/>
  <c r="M20" i="13"/>
  <c r="M22" i="13"/>
  <c r="N65" i="13"/>
  <c r="Q68" i="8"/>
  <c r="Q69" i="8"/>
  <c r="S130" i="10"/>
  <c r="S76" i="4"/>
  <c r="S77" i="4"/>
  <c r="S75" i="4"/>
  <c r="V45" i="11"/>
  <c r="S69" i="13"/>
  <c r="S65" i="22"/>
  <c r="R71" i="13"/>
  <c r="R70" i="13"/>
  <c r="R133" i="10"/>
  <c r="R72" i="13"/>
  <c r="R61" i="11"/>
  <c r="R70" i="11"/>
  <c r="R164" i="10"/>
  <c r="R144" i="10"/>
  <c r="Q144" i="10"/>
  <c r="Q61" i="11"/>
  <c r="Q70" i="11"/>
  <c r="Q164" i="10"/>
  <c r="Q77" i="4"/>
  <c r="Q75" i="4"/>
  <c r="Q76" i="4"/>
  <c r="Q130" i="10"/>
  <c r="Q69" i="13"/>
  <c r="Q65" i="22"/>
  <c r="T71" i="22"/>
  <c r="T180" i="10"/>
  <c r="T133" i="10"/>
  <c r="M17" i="26"/>
  <c r="M65" i="26"/>
  <c r="M20" i="26"/>
  <c r="M22" i="26"/>
  <c r="N65" i="26"/>
  <c r="W41" i="4"/>
  <c r="V55" i="4"/>
  <c r="V57" i="4"/>
  <c r="V60" i="4"/>
  <c r="T192" i="10"/>
  <c r="T73" i="22"/>
  <c r="T62" i="22"/>
  <c r="T74" i="4"/>
  <c r="R68" i="8"/>
  <c r="R69" i="8"/>
  <c r="O20" i="26"/>
  <c r="O22" i="26"/>
  <c r="O18" i="26"/>
  <c r="O21" i="26"/>
  <c r="O60" i="26"/>
  <c r="O62" i="26"/>
  <c r="U64" i="4"/>
  <c r="U68" i="4"/>
  <c r="U71" i="4"/>
  <c r="U72" i="4"/>
  <c r="U73" i="4"/>
  <c r="U62" i="4"/>
  <c r="Q160" i="10"/>
  <c r="Q140" i="10"/>
  <c r="Q57" i="11"/>
  <c r="U179" i="10"/>
  <c r="R192" i="10"/>
  <c r="R73" i="22"/>
  <c r="S131" i="10"/>
  <c r="S65" i="8"/>
  <c r="S67" i="8"/>
  <c r="S66" i="8"/>
  <c r="R57" i="11"/>
  <c r="R160" i="10"/>
  <c r="R140" i="10"/>
  <c r="Q180" i="10"/>
  <c r="Q71" i="22"/>
  <c r="O20" i="13"/>
  <c r="O22" i="13"/>
  <c r="O18" i="13"/>
  <c r="O21" i="13"/>
  <c r="O60" i="13"/>
  <c r="O62" i="13"/>
  <c r="T70" i="13"/>
  <c r="R56" i="11"/>
  <c r="R73" i="11"/>
  <c r="T72" i="13"/>
  <c r="R139" i="10"/>
  <c r="R151" i="10"/>
  <c r="Z15" i="13"/>
  <c r="Z15" i="26"/>
  <c r="Z110" i="10"/>
  <c r="Z174" i="10"/>
  <c r="Z196" i="10"/>
  <c r="Z15" i="29"/>
  <c r="Z15" i="4"/>
  <c r="T131" i="10"/>
  <c r="T57" i="11"/>
  <c r="U72" i="9"/>
  <c r="T67" i="8"/>
  <c r="T68" i="8"/>
  <c r="T69" i="8"/>
  <c r="T65" i="8"/>
  <c r="X49" i="13"/>
  <c r="W20" i="13"/>
  <c r="W22" i="13"/>
  <c r="W21" i="8"/>
  <c r="W55" i="8"/>
  <c r="W57" i="8"/>
  <c r="W59" i="8"/>
  <c r="U63" i="4"/>
  <c r="W20" i="29"/>
  <c r="W22" i="29"/>
  <c r="V61" i="4"/>
  <c r="V64" i="4"/>
  <c r="V68" i="4"/>
  <c r="V71" i="4"/>
  <c r="V72" i="4"/>
  <c r="V73" i="4"/>
  <c r="V64" i="13"/>
  <c r="V68" i="13"/>
  <c r="M18" i="13"/>
  <c r="M21" i="13"/>
  <c r="M60" i="13"/>
  <c r="M62" i="13"/>
  <c r="M18" i="26"/>
  <c r="M21" i="26"/>
  <c r="M60" i="26"/>
  <c r="M62" i="26"/>
  <c r="W20" i="26"/>
  <c r="W22" i="26"/>
  <c r="W51" i="9"/>
  <c r="W53" i="9"/>
  <c r="U64" i="13"/>
  <c r="U68" i="13"/>
  <c r="U62" i="13"/>
  <c r="X76" i="9"/>
  <c r="Y13" i="9"/>
  <c r="X36" i="9"/>
  <c r="X47" i="9"/>
  <c r="X49" i="9"/>
  <c r="X63" i="9"/>
  <c r="X45" i="9"/>
  <c r="Z16" i="4"/>
  <c r="Z97" i="10"/>
  <c r="Z204" i="10"/>
  <c r="X67" i="26"/>
  <c r="X19" i="26"/>
  <c r="Y13" i="26"/>
  <c r="Y45" i="26"/>
  <c r="X30" i="26"/>
  <c r="X43" i="26"/>
  <c r="X65" i="26"/>
  <c r="X18" i="26"/>
  <c r="X60" i="8"/>
  <c r="X18" i="8"/>
  <c r="X73" i="9"/>
  <c r="X65" i="13"/>
  <c r="X18" i="13"/>
  <c r="X65" i="29"/>
  <c r="X18" i="29"/>
  <c r="X17" i="13"/>
  <c r="U63" i="22"/>
  <c r="U64" i="8"/>
  <c r="U59" i="9"/>
  <c r="U79" i="9"/>
  <c r="T64" i="9"/>
  <c r="T126" i="10"/>
  <c r="U50" i="11"/>
  <c r="T79" i="9"/>
  <c r="T80" i="9"/>
  <c r="V45" i="8"/>
  <c r="V122" i="10"/>
  <c r="W46" i="11"/>
  <c r="W43" i="8"/>
  <c r="V52" i="22"/>
  <c r="V51" i="22"/>
  <c r="V179" i="10"/>
  <c r="V46" i="4"/>
  <c r="V121" i="10"/>
  <c r="W45" i="11"/>
  <c r="O9" i="11"/>
  <c r="O55" i="11"/>
  <c r="O158" i="10"/>
  <c r="X17" i="29"/>
  <c r="V54" i="22"/>
  <c r="V182" i="10"/>
  <c r="W43" i="13"/>
  <c r="AB93" i="10"/>
  <c r="AB116" i="10"/>
  <c r="AC95" i="10"/>
  <c r="AB92" i="10"/>
  <c r="N9" i="11"/>
  <c r="N55" i="11"/>
  <c r="N158" i="10"/>
  <c r="P55" i="11"/>
  <c r="P9" i="11"/>
  <c r="P158" i="10"/>
  <c r="B105" i="10"/>
  <c r="V58" i="13"/>
  <c r="V124" i="10"/>
  <c r="W48" i="11"/>
  <c r="V55" i="9"/>
  <c r="V57" i="9"/>
  <c r="V70" i="9"/>
  <c r="V63" i="8"/>
  <c r="W20" i="8"/>
  <c r="W22" i="8"/>
  <c r="W18" i="26"/>
  <c r="W21" i="26"/>
  <c r="Y16" i="9"/>
  <c r="Y17" i="9"/>
  <c r="Y69" i="9"/>
  <c r="Y16" i="29"/>
  <c r="Y16" i="26"/>
  <c r="Y16" i="8"/>
  <c r="Y17" i="4"/>
  <c r="Y18" i="4"/>
  <c r="Y16" i="13"/>
  <c r="Y98" i="10"/>
  <c r="X28" i="4"/>
  <c r="W44" i="4"/>
  <c r="F13" i="32"/>
  <c r="F8" i="32"/>
  <c r="F7" i="32"/>
  <c r="F9" i="32"/>
  <c r="F10" i="32"/>
  <c r="F12" i="32"/>
  <c r="X17" i="8"/>
  <c r="K9" i="11"/>
  <c r="K55" i="11"/>
  <c r="K158" i="10"/>
  <c r="X49" i="8"/>
  <c r="X51" i="8"/>
  <c r="X30" i="8"/>
  <c r="X19" i="8"/>
  <c r="Y13" i="8"/>
  <c r="X46" i="8"/>
  <c r="X62" i="8"/>
  <c r="X67" i="13"/>
  <c r="X45" i="13"/>
  <c r="X47" i="13"/>
  <c r="X30" i="13"/>
  <c r="Y13" i="13"/>
  <c r="X19" i="13"/>
  <c r="S67" i="22"/>
  <c r="S81" i="9"/>
  <c r="X47" i="26"/>
  <c r="W18" i="29"/>
  <c r="W21" i="29"/>
  <c r="AA94" i="10"/>
  <c r="I9" i="11"/>
  <c r="I55" i="11"/>
  <c r="M9" i="11"/>
  <c r="M158" i="10"/>
  <c r="M55" i="11"/>
  <c r="X17" i="26"/>
  <c r="X19" i="29"/>
  <c r="X43" i="29"/>
  <c r="Y13" i="29"/>
  <c r="X67" i="29"/>
  <c r="X66" i="4"/>
  <c r="X49" i="4"/>
  <c r="X25" i="4"/>
  <c r="X20" i="4"/>
  <c r="Y13" i="4"/>
  <c r="X24" i="4"/>
  <c r="W51" i="13"/>
  <c r="W53" i="13"/>
  <c r="W55" i="13"/>
  <c r="AA198" i="10"/>
  <c r="AA39" i="22"/>
  <c r="AA58" i="22"/>
  <c r="AA6" i="11"/>
  <c r="AA53" i="11"/>
  <c r="S12" i="15"/>
  <c r="AA166" i="10"/>
  <c r="AA148" i="10"/>
  <c r="AA176" i="10"/>
  <c r="S5" i="30"/>
  <c r="B95" i="34"/>
  <c r="E95" i="34"/>
  <c r="G95" i="34"/>
  <c r="H95" i="34"/>
  <c r="F95" i="34"/>
  <c r="J95" i="34"/>
  <c r="J97" i="34"/>
  <c r="I95" i="34"/>
  <c r="I97" i="34"/>
  <c r="W26" i="4"/>
  <c r="W18" i="13"/>
  <c r="W21" i="13"/>
  <c r="W60" i="13"/>
  <c r="R152" i="10"/>
  <c r="S68" i="8"/>
  <c r="S69" i="8"/>
  <c r="T189" i="10"/>
  <c r="T70" i="22"/>
  <c r="N20" i="26"/>
  <c r="N22" i="26"/>
  <c r="N18" i="26"/>
  <c r="N21" i="26"/>
  <c r="N60" i="26"/>
  <c r="N62" i="26"/>
  <c r="T73" i="13"/>
  <c r="T74" i="13"/>
  <c r="Q71" i="13"/>
  <c r="Q72" i="13"/>
  <c r="Q133" i="10"/>
  <c r="Q70" i="13"/>
  <c r="Q156" i="10"/>
  <c r="R73" i="13"/>
  <c r="R74" i="13"/>
  <c r="N20" i="13"/>
  <c r="N22" i="13"/>
  <c r="N18" i="13"/>
  <c r="N21" i="13"/>
  <c r="N60" i="13"/>
  <c r="N62" i="13"/>
  <c r="W45" i="26"/>
  <c r="W51" i="26"/>
  <c r="V45" i="26"/>
  <c r="V51" i="26"/>
  <c r="R45" i="26"/>
  <c r="R51" i="26"/>
  <c r="Q45" i="26"/>
  <c r="Q51" i="26"/>
  <c r="X45" i="26"/>
  <c r="S45" i="26"/>
  <c r="S51" i="26"/>
  <c r="U45" i="26"/>
  <c r="U51" i="26"/>
  <c r="T45" i="26"/>
  <c r="T51" i="26"/>
  <c r="Q152" i="10"/>
  <c r="T75" i="4"/>
  <c r="T77" i="4"/>
  <c r="T76" i="4"/>
  <c r="T130" i="10"/>
  <c r="X41" i="4"/>
  <c r="W55" i="4"/>
  <c r="W57" i="4"/>
  <c r="W60" i="4"/>
  <c r="Q192" i="10"/>
  <c r="Q73" i="22"/>
  <c r="R156" i="10"/>
  <c r="S72" i="13"/>
  <c r="S70" i="13"/>
  <c r="S71" i="13"/>
  <c r="S133" i="10"/>
  <c r="S159" i="10"/>
  <c r="S139" i="10"/>
  <c r="S56" i="11"/>
  <c r="M18" i="8"/>
  <c r="M21" i="8"/>
  <c r="M55" i="8"/>
  <c r="M57" i="8"/>
  <c r="M60" i="8"/>
  <c r="M20" i="8"/>
  <c r="M22" i="8"/>
  <c r="R66" i="11"/>
  <c r="S160" i="10"/>
  <c r="S57" i="11"/>
  <c r="S140" i="10"/>
  <c r="Q66" i="11"/>
  <c r="U74" i="4"/>
  <c r="U62" i="22"/>
  <c r="T59" i="11"/>
  <c r="T68" i="11"/>
  <c r="T162" i="10"/>
  <c r="T142" i="10"/>
  <c r="Q56" i="11"/>
  <c r="Q159" i="10"/>
  <c r="Q139" i="10"/>
  <c r="S192" i="10"/>
  <c r="S73" i="22"/>
  <c r="R142" i="10"/>
  <c r="R59" i="11"/>
  <c r="R68" i="11"/>
  <c r="R162" i="10"/>
  <c r="R65" i="11"/>
  <c r="R77" i="11"/>
  <c r="T160" i="10"/>
  <c r="T140" i="10"/>
  <c r="T152" i="10"/>
  <c r="Y47" i="26"/>
  <c r="Y51" i="26"/>
  <c r="Y53" i="26"/>
  <c r="V62" i="4"/>
  <c r="V63" i="4"/>
  <c r="X20" i="8"/>
  <c r="X22" i="8"/>
  <c r="X51" i="26"/>
  <c r="X21" i="26"/>
  <c r="W61" i="4"/>
  <c r="W62" i="4"/>
  <c r="X20" i="26"/>
  <c r="X22" i="26"/>
  <c r="T67" i="22"/>
  <c r="T81" i="9"/>
  <c r="W58" i="13"/>
  <c r="W124" i="10"/>
  <c r="X48" i="11"/>
  <c r="W62" i="13"/>
  <c r="W64" i="13"/>
  <c r="W68" i="13"/>
  <c r="Y67" i="13"/>
  <c r="Y45" i="13"/>
  <c r="Z13" i="13"/>
  <c r="Y47" i="13"/>
  <c r="Y30" i="13"/>
  <c r="Y19" i="13"/>
  <c r="Y60" i="8"/>
  <c r="Y18" i="8"/>
  <c r="Y65" i="13"/>
  <c r="Y18" i="13"/>
  <c r="Y73" i="9"/>
  <c r="Y65" i="29"/>
  <c r="Y18" i="29"/>
  <c r="Y65" i="26"/>
  <c r="Y17" i="26"/>
  <c r="V69" i="13"/>
  <c r="V65" i="22"/>
  <c r="U190" i="10"/>
  <c r="U71" i="22"/>
  <c r="X51" i="9"/>
  <c r="X53" i="9"/>
  <c r="X26" i="4"/>
  <c r="X20" i="13"/>
  <c r="X22" i="13"/>
  <c r="Y43" i="29"/>
  <c r="Y67" i="29"/>
  <c r="Y19" i="29"/>
  <c r="Z13" i="29"/>
  <c r="Y30" i="8"/>
  <c r="Y19" i="8"/>
  <c r="Y62" i="8"/>
  <c r="Y49" i="8"/>
  <c r="Y51" i="8"/>
  <c r="Z13" i="8"/>
  <c r="Y46" i="8"/>
  <c r="X44" i="4"/>
  <c r="Y28" i="4"/>
  <c r="Y17" i="8"/>
  <c r="AB166" i="10"/>
  <c r="AB39" i="22"/>
  <c r="AB58" i="22"/>
  <c r="AB6" i="11"/>
  <c r="AB53" i="11"/>
  <c r="T5" i="30"/>
  <c r="AB198" i="10"/>
  <c r="AB176" i="10"/>
  <c r="T12" i="15"/>
  <c r="AB148" i="10"/>
  <c r="W45" i="8"/>
  <c r="W122" i="10"/>
  <c r="X46" i="11"/>
  <c r="X43" i="8"/>
  <c r="W52" i="22"/>
  <c r="U65" i="8"/>
  <c r="U131" i="10"/>
  <c r="U66" i="8"/>
  <c r="U67" i="8"/>
  <c r="U68" i="8"/>
  <c r="U69" i="8"/>
  <c r="Y36" i="9"/>
  <c r="Y76" i="9"/>
  <c r="Z13" i="9"/>
  <c r="Y47" i="9"/>
  <c r="Y49" i="9"/>
  <c r="Y45" i="9"/>
  <c r="Y63" i="9"/>
  <c r="W55" i="9"/>
  <c r="W57" i="9"/>
  <c r="W70" i="9"/>
  <c r="X21" i="29"/>
  <c r="X20" i="29"/>
  <c r="X22" i="29"/>
  <c r="AA196" i="10"/>
  <c r="AA146" i="10"/>
  <c r="AA15" i="29"/>
  <c r="AA110" i="10"/>
  <c r="AA15" i="9"/>
  <c r="AA15" i="4"/>
  <c r="AA174" i="10"/>
  <c r="AA15" i="13"/>
  <c r="AA15" i="8"/>
  <c r="AA15" i="26"/>
  <c r="AA96" i="10"/>
  <c r="S194" i="10"/>
  <c r="S75" i="22"/>
  <c r="X51" i="13"/>
  <c r="X53" i="13"/>
  <c r="X55" i="13"/>
  <c r="W46" i="4"/>
  <c r="W121" i="10"/>
  <c r="X45" i="11"/>
  <c r="W51" i="22"/>
  <c r="W179" i="10"/>
  <c r="V72" i="9"/>
  <c r="V71" i="9"/>
  <c r="V77" i="9"/>
  <c r="AD95" i="10"/>
  <c r="AC93" i="10"/>
  <c r="AC92" i="10"/>
  <c r="AC116" i="10"/>
  <c r="V180" i="10"/>
  <c r="U65" i="22"/>
  <c r="U69" i="13"/>
  <c r="X21" i="8"/>
  <c r="X55" i="8"/>
  <c r="X57" i="8"/>
  <c r="X59" i="8"/>
  <c r="Y49" i="13"/>
  <c r="X21" i="13"/>
  <c r="X60" i="13"/>
  <c r="Z13" i="4"/>
  <c r="Y20" i="4"/>
  <c r="Y25" i="4"/>
  <c r="Y24" i="4"/>
  <c r="Y66" i="4"/>
  <c r="Y49" i="4"/>
  <c r="S82" i="9"/>
  <c r="S135" i="10"/>
  <c r="S84" i="9"/>
  <c r="S83" i="9"/>
  <c r="Y17" i="13"/>
  <c r="Y17" i="29"/>
  <c r="V64" i="8"/>
  <c r="V63" i="22"/>
  <c r="V190" i="10"/>
  <c r="W54" i="22"/>
  <c r="W182" i="10"/>
  <c r="X43" i="13"/>
  <c r="U80" i="9"/>
  <c r="V59" i="9"/>
  <c r="U64" i="9"/>
  <c r="U126" i="10"/>
  <c r="V50" i="11"/>
  <c r="Y30" i="26"/>
  <c r="Y43" i="26"/>
  <c r="Y67" i="26"/>
  <c r="Z13" i="26"/>
  <c r="Y19" i="26"/>
  <c r="Z16" i="9"/>
  <c r="Z17" i="9"/>
  <c r="Z69" i="9"/>
  <c r="Z16" i="13"/>
  <c r="Z98" i="10"/>
  <c r="Z16" i="8"/>
  <c r="Z16" i="26"/>
  <c r="Z17" i="26"/>
  <c r="Z16" i="29"/>
  <c r="Z17" i="29"/>
  <c r="Z17" i="4"/>
  <c r="Z18" i="4"/>
  <c r="AB94" i="10"/>
  <c r="W63" i="8"/>
  <c r="S73" i="13"/>
  <c r="S74" i="13"/>
  <c r="Y41" i="4"/>
  <c r="X55" i="4"/>
  <c r="X57" i="4"/>
  <c r="X60" i="4"/>
  <c r="R60" i="26"/>
  <c r="R53" i="26"/>
  <c r="R52" i="29"/>
  <c r="R60" i="29"/>
  <c r="Q73" i="13"/>
  <c r="Q74" i="13"/>
  <c r="R154" i="10"/>
  <c r="Q151" i="10"/>
  <c r="T66" i="11"/>
  <c r="S151" i="10"/>
  <c r="S53" i="26"/>
  <c r="S52" i="29"/>
  <c r="S60" i="29"/>
  <c r="S60" i="26"/>
  <c r="Q53" i="26"/>
  <c r="Q60" i="26"/>
  <c r="W53" i="26"/>
  <c r="W52" i="29"/>
  <c r="W60" i="29"/>
  <c r="W60" i="26"/>
  <c r="Q59" i="11"/>
  <c r="Q68" i="11"/>
  <c r="Q142" i="10"/>
  <c r="Q162" i="10"/>
  <c r="T154" i="10"/>
  <c r="U76" i="4"/>
  <c r="U130" i="10"/>
  <c r="U75" i="4"/>
  <c r="U77" i="4"/>
  <c r="S66" i="11"/>
  <c r="S73" i="11"/>
  <c r="S65" i="11"/>
  <c r="S77" i="11"/>
  <c r="U60" i="26"/>
  <c r="U53" i="26"/>
  <c r="U52" i="29"/>
  <c r="U60" i="29"/>
  <c r="Q73" i="11"/>
  <c r="Q65" i="11"/>
  <c r="Q77" i="11"/>
  <c r="V74" i="4"/>
  <c r="V62" i="22"/>
  <c r="U189" i="10"/>
  <c r="U70" i="22"/>
  <c r="S152" i="10"/>
  <c r="S142" i="10"/>
  <c r="S59" i="11"/>
  <c r="S68" i="11"/>
  <c r="S162" i="10"/>
  <c r="T56" i="11"/>
  <c r="T159" i="10"/>
  <c r="T139" i="10"/>
  <c r="T53" i="26"/>
  <c r="T52" i="29"/>
  <c r="T60" i="29"/>
  <c r="T60" i="26"/>
  <c r="V53" i="26"/>
  <c r="V52" i="29"/>
  <c r="V60" i="29"/>
  <c r="V60" i="26"/>
  <c r="W63" i="4"/>
  <c r="X60" i="26"/>
  <c r="X64" i="26"/>
  <c r="W64" i="4"/>
  <c r="W68" i="4"/>
  <c r="W71" i="4"/>
  <c r="W72" i="4"/>
  <c r="W73" i="4"/>
  <c r="W62" i="22"/>
  <c r="Y21" i="13"/>
  <c r="Y60" i="13"/>
  <c r="Y26" i="4"/>
  <c r="Y21" i="29"/>
  <c r="X53" i="26"/>
  <c r="X52" i="29"/>
  <c r="X60" i="29"/>
  <c r="X62" i="29"/>
  <c r="X63" i="8"/>
  <c r="X63" i="22"/>
  <c r="X190" i="10"/>
  <c r="Z49" i="13"/>
  <c r="X61" i="4"/>
  <c r="X62" i="4"/>
  <c r="X63" i="4"/>
  <c r="Y21" i="8"/>
  <c r="Y55" i="8"/>
  <c r="Y57" i="8"/>
  <c r="Y59" i="8"/>
  <c r="X62" i="13"/>
  <c r="X64" i="13"/>
  <c r="X68" i="13"/>
  <c r="X58" i="13"/>
  <c r="X124" i="10"/>
  <c r="Y48" i="11"/>
  <c r="Y51" i="9"/>
  <c r="Y53" i="9"/>
  <c r="Z17" i="13"/>
  <c r="U81" i="9"/>
  <c r="U67" i="22"/>
  <c r="V67" i="8"/>
  <c r="V65" i="8"/>
  <c r="V66" i="8"/>
  <c r="V131" i="10"/>
  <c r="Z36" i="9"/>
  <c r="Z76" i="9"/>
  <c r="Z45" i="9"/>
  <c r="Z63" i="9"/>
  <c r="AA13" i="9"/>
  <c r="Z47" i="9"/>
  <c r="Z49" i="9"/>
  <c r="X45" i="8"/>
  <c r="X122" i="10"/>
  <c r="Y46" i="11"/>
  <c r="Y43" i="8"/>
  <c r="X52" i="22"/>
  <c r="Y44" i="4"/>
  <c r="Z28" i="4"/>
  <c r="Z43" i="29"/>
  <c r="Z19" i="29"/>
  <c r="Z67" i="29"/>
  <c r="AA13" i="29"/>
  <c r="X55" i="9"/>
  <c r="X57" i="9"/>
  <c r="X70" i="9"/>
  <c r="V72" i="13"/>
  <c r="V73" i="13"/>
  <c r="V74" i="13"/>
  <c r="V133" i="10"/>
  <c r="V70" i="13"/>
  <c r="V71" i="13"/>
  <c r="W65" i="22"/>
  <c r="W69" i="13"/>
  <c r="T75" i="22"/>
  <c r="T194" i="10"/>
  <c r="V71" i="22"/>
  <c r="Y20" i="29"/>
  <c r="Y22" i="29"/>
  <c r="Z60" i="8"/>
  <c r="Z18" i="8"/>
  <c r="Z73" i="9"/>
  <c r="Z65" i="13"/>
  <c r="Z18" i="13"/>
  <c r="Z65" i="29"/>
  <c r="Z18" i="29"/>
  <c r="Z65" i="26"/>
  <c r="Z18" i="26"/>
  <c r="Z19" i="26"/>
  <c r="Z30" i="26"/>
  <c r="Z43" i="26"/>
  <c r="Z67" i="26"/>
  <c r="AA13" i="26"/>
  <c r="Z45" i="26"/>
  <c r="W59" i="9"/>
  <c r="V64" i="9"/>
  <c r="V126" i="10"/>
  <c r="W50" i="11"/>
  <c r="S144" i="10"/>
  <c r="S156" i="10"/>
  <c r="S164" i="10"/>
  <c r="S61" i="11"/>
  <c r="S70" i="11"/>
  <c r="U192" i="10"/>
  <c r="U73" i="22"/>
  <c r="W72" i="9"/>
  <c r="W71" i="9"/>
  <c r="W77" i="9"/>
  <c r="W79" i="9"/>
  <c r="W180" i="10"/>
  <c r="Z62" i="8"/>
  <c r="AA13" i="8"/>
  <c r="Z30" i="8"/>
  <c r="Z49" i="8"/>
  <c r="Z46" i="8"/>
  <c r="Z19" i="8"/>
  <c r="V73" i="22"/>
  <c r="V192" i="10"/>
  <c r="Z30" i="13"/>
  <c r="Z67" i="13"/>
  <c r="AA13" i="13"/>
  <c r="Z45" i="13"/>
  <c r="Z19" i="13"/>
  <c r="Z47" i="13"/>
  <c r="T83" i="9"/>
  <c r="T135" i="10"/>
  <c r="T84" i="9"/>
  <c r="T82" i="9"/>
  <c r="AC94" i="10"/>
  <c r="Y20" i="26"/>
  <c r="Y22" i="26"/>
  <c r="Y20" i="8"/>
  <c r="Y22" i="8"/>
  <c r="AB15" i="13"/>
  <c r="AB174" i="10"/>
  <c r="AB15" i="4"/>
  <c r="AB15" i="26"/>
  <c r="AB146" i="10"/>
  <c r="AB196" i="10"/>
  <c r="AB15" i="8"/>
  <c r="AB15" i="9"/>
  <c r="AB15" i="29"/>
  <c r="AB110" i="10"/>
  <c r="AB96" i="10"/>
  <c r="Z17" i="8"/>
  <c r="Z25" i="4"/>
  <c r="Z20" i="4"/>
  <c r="G87" i="4"/>
  <c r="Z66" i="4"/>
  <c r="Z24" i="4"/>
  <c r="Z49" i="4"/>
  <c r="AA13" i="4"/>
  <c r="U71" i="13"/>
  <c r="U72" i="13"/>
  <c r="U70" i="13"/>
  <c r="U133" i="10"/>
  <c r="U12" i="15"/>
  <c r="AC176" i="10"/>
  <c r="U5" i="30"/>
  <c r="AC166" i="10"/>
  <c r="AC198" i="10"/>
  <c r="AC148" i="10"/>
  <c r="AC6" i="11"/>
  <c r="AC53" i="11"/>
  <c r="AC39" i="22"/>
  <c r="AC58" i="22"/>
  <c r="AA97" i="10"/>
  <c r="AA204" i="10"/>
  <c r="AA16" i="4"/>
  <c r="Y51" i="13"/>
  <c r="Y53" i="13"/>
  <c r="Y52" i="29"/>
  <c r="V79" i="9"/>
  <c r="V80" i="9"/>
  <c r="Y18" i="26"/>
  <c r="Y21" i="26"/>
  <c r="Y60" i="26"/>
  <c r="Y64" i="26"/>
  <c r="Y20" i="13"/>
  <c r="Y22" i="13"/>
  <c r="W63" i="22"/>
  <c r="W190" i="10"/>
  <c r="W64" i="8"/>
  <c r="X54" i="22"/>
  <c r="X182" i="10"/>
  <c r="Y43" i="13"/>
  <c r="AD93" i="10"/>
  <c r="AE95" i="10"/>
  <c r="AD92" i="10"/>
  <c r="AD116" i="10"/>
  <c r="U57" i="11"/>
  <c r="U66" i="11"/>
  <c r="U140" i="10"/>
  <c r="U152" i="10"/>
  <c r="U160" i="10"/>
  <c r="X46" i="4"/>
  <c r="X121" i="10"/>
  <c r="Y45" i="11"/>
  <c r="X51" i="22"/>
  <c r="X179" i="10"/>
  <c r="Z47" i="26"/>
  <c r="T151" i="10"/>
  <c r="V189" i="10"/>
  <c r="V70" i="22"/>
  <c r="U64" i="26"/>
  <c r="U62" i="26"/>
  <c r="Q154" i="10"/>
  <c r="Q55" i="26"/>
  <c r="Q52" i="29"/>
  <c r="R64" i="26"/>
  <c r="R62" i="26"/>
  <c r="Z41" i="4"/>
  <c r="Y55" i="4"/>
  <c r="Y57" i="4"/>
  <c r="Y60" i="4"/>
  <c r="Y61" i="4"/>
  <c r="V62" i="29"/>
  <c r="V64" i="29"/>
  <c r="S154" i="10"/>
  <c r="U64" i="29"/>
  <c r="U62" i="29"/>
  <c r="Q64" i="26"/>
  <c r="Q62" i="26"/>
  <c r="R62" i="29"/>
  <c r="R64" i="29"/>
  <c r="V64" i="26"/>
  <c r="V62" i="26"/>
  <c r="T73" i="11"/>
  <c r="T65" i="11"/>
  <c r="T77" i="11"/>
  <c r="U56" i="11"/>
  <c r="U159" i="10"/>
  <c r="U139" i="10"/>
  <c r="W64" i="29"/>
  <c r="W62" i="29"/>
  <c r="S62" i="29"/>
  <c r="S64" i="29"/>
  <c r="T62" i="29"/>
  <c r="T64" i="29"/>
  <c r="T62" i="26"/>
  <c r="T64" i="26"/>
  <c r="V76" i="4"/>
  <c r="V75" i="4"/>
  <c r="V77" i="4"/>
  <c r="V130" i="10"/>
  <c r="W64" i="26"/>
  <c r="W62" i="26"/>
  <c r="S62" i="26"/>
  <c r="S64" i="26"/>
  <c r="X62" i="26"/>
  <c r="AA49" i="13"/>
  <c r="AD94" i="10"/>
  <c r="W74" i="4"/>
  <c r="X64" i="29"/>
  <c r="Y62" i="26"/>
  <c r="X64" i="8"/>
  <c r="X66" i="8"/>
  <c r="Z20" i="13"/>
  <c r="Z22" i="13"/>
  <c r="G84" i="26"/>
  <c r="AA47" i="26"/>
  <c r="Y60" i="29"/>
  <c r="Y62" i="29"/>
  <c r="Z21" i="29"/>
  <c r="X64" i="4"/>
  <c r="X68" i="4"/>
  <c r="X71" i="4"/>
  <c r="X72" i="4"/>
  <c r="X73" i="4"/>
  <c r="X62" i="22"/>
  <c r="Y63" i="8"/>
  <c r="Y63" i="22"/>
  <c r="Y190" i="10"/>
  <c r="Z20" i="8"/>
  <c r="Z22" i="8"/>
  <c r="Z20" i="26"/>
  <c r="Z22" i="26"/>
  <c r="G88" i="29"/>
  <c r="Z26" i="4"/>
  <c r="J163" i="4"/>
  <c r="Z21" i="8"/>
  <c r="Z55" i="8"/>
  <c r="Z57" i="8"/>
  <c r="G84" i="13"/>
  <c r="Z21" i="13"/>
  <c r="Z60" i="13"/>
  <c r="V67" i="22"/>
  <c r="V81" i="9"/>
  <c r="Z51" i="9"/>
  <c r="Z53" i="9"/>
  <c r="AD148" i="10"/>
  <c r="V12" i="15"/>
  <c r="AD198" i="10"/>
  <c r="AD176" i="10"/>
  <c r="AD6" i="11"/>
  <c r="AD53" i="11"/>
  <c r="AD166" i="10"/>
  <c r="V5" i="30"/>
  <c r="AD39" i="22"/>
  <c r="AD58" i="22"/>
  <c r="W67" i="8"/>
  <c r="W65" i="8"/>
  <c r="W66" i="8"/>
  <c r="W131" i="10"/>
  <c r="U73" i="13"/>
  <c r="U74" i="13"/>
  <c r="AC110" i="10"/>
  <c r="AC146" i="10"/>
  <c r="AC196" i="10"/>
  <c r="AC15" i="4"/>
  <c r="AC15" i="29"/>
  <c r="AC174" i="10"/>
  <c r="AC15" i="8"/>
  <c r="AC15" i="13"/>
  <c r="AC15" i="9"/>
  <c r="AC15" i="26"/>
  <c r="AC96" i="10"/>
  <c r="T164" i="10"/>
  <c r="T61" i="11"/>
  <c r="T70" i="11"/>
  <c r="T144" i="10"/>
  <c r="T156" i="10"/>
  <c r="F117" i="34"/>
  <c r="Z51" i="8"/>
  <c r="Z43" i="8"/>
  <c r="W73" i="22"/>
  <c r="W192" i="10"/>
  <c r="Y51" i="22"/>
  <c r="Y179" i="10"/>
  <c r="Y46" i="4"/>
  <c r="Y121" i="10"/>
  <c r="Z45" i="11"/>
  <c r="X69" i="13"/>
  <c r="X65" i="22"/>
  <c r="Z51" i="26"/>
  <c r="W64" i="9"/>
  <c r="W126" i="10"/>
  <c r="X50" i="11"/>
  <c r="W80" i="9"/>
  <c r="X59" i="9"/>
  <c r="W133" i="10"/>
  <c r="W70" i="13"/>
  <c r="W71" i="13"/>
  <c r="W72" i="13"/>
  <c r="W73" i="13"/>
  <c r="W74" i="13"/>
  <c r="V59" i="11"/>
  <c r="V68" i="11"/>
  <c r="V142" i="10"/>
  <c r="V154" i="10"/>
  <c r="V162" i="10"/>
  <c r="AB13" i="29"/>
  <c r="AA67" i="29"/>
  <c r="AA19" i="29"/>
  <c r="AA43" i="29"/>
  <c r="AA28" i="4"/>
  <c r="Z44" i="4"/>
  <c r="O218" i="4"/>
  <c r="E115" i="34"/>
  <c r="U84" i="9"/>
  <c r="U82" i="9"/>
  <c r="U135" i="10"/>
  <c r="U83" i="9"/>
  <c r="AE116" i="10"/>
  <c r="AE92" i="10"/>
  <c r="AE93" i="10"/>
  <c r="AF95" i="10"/>
  <c r="Y54" i="22"/>
  <c r="Y182" i="10"/>
  <c r="Z43" i="13"/>
  <c r="U162" i="10"/>
  <c r="U142" i="10"/>
  <c r="U154" i="10"/>
  <c r="U59" i="11"/>
  <c r="U68" i="11"/>
  <c r="AA49" i="4"/>
  <c r="AA20" i="4"/>
  <c r="AA25" i="4"/>
  <c r="AB13" i="4"/>
  <c r="AA24" i="4"/>
  <c r="AA66" i="4"/>
  <c r="AB97" i="10"/>
  <c r="AB204" i="10"/>
  <c r="AB16" i="4"/>
  <c r="Z51" i="13"/>
  <c r="AA49" i="8"/>
  <c r="AA51" i="8"/>
  <c r="AA19" i="8"/>
  <c r="AA46" i="8"/>
  <c r="AB13" i="8"/>
  <c r="AA30" i="8"/>
  <c r="AA62" i="8"/>
  <c r="Y45" i="8"/>
  <c r="Y122" i="10"/>
  <c r="Z46" i="11"/>
  <c r="Y52" i="22"/>
  <c r="V57" i="11"/>
  <c r="V66" i="11"/>
  <c r="V160" i="10"/>
  <c r="V140" i="10"/>
  <c r="V152" i="10"/>
  <c r="U75" i="22"/>
  <c r="U194" i="10"/>
  <c r="Y70" i="9"/>
  <c r="Y55" i="9"/>
  <c r="Y57" i="9"/>
  <c r="Y55" i="13"/>
  <c r="AD174" i="10"/>
  <c r="AD146" i="10"/>
  <c r="AD15" i="26"/>
  <c r="AD110" i="10"/>
  <c r="AD15" i="29"/>
  <c r="AD15" i="8"/>
  <c r="AD15" i="13"/>
  <c r="AD15" i="4"/>
  <c r="AD15" i="9"/>
  <c r="AD196" i="10"/>
  <c r="AD96" i="10"/>
  <c r="Y62" i="13"/>
  <c r="Y64" i="13"/>
  <c r="AA16" i="13"/>
  <c r="AA17" i="4"/>
  <c r="AA18" i="4"/>
  <c r="AA16" i="8"/>
  <c r="AA16" i="9"/>
  <c r="AA17" i="9"/>
  <c r="AA69" i="9"/>
  <c r="AA98" i="10"/>
  <c r="AA16" i="26"/>
  <c r="AA16" i="29"/>
  <c r="AB13" i="13"/>
  <c r="AA67" i="13"/>
  <c r="AA30" i="13"/>
  <c r="AA47" i="13"/>
  <c r="AA45" i="13"/>
  <c r="AA19" i="13"/>
  <c r="AA67" i="26"/>
  <c r="AA30" i="26"/>
  <c r="AA43" i="26"/>
  <c r="AA19" i="26"/>
  <c r="AB13" i="26"/>
  <c r="AA45" i="26"/>
  <c r="X72" i="9"/>
  <c r="X71" i="9"/>
  <c r="X77" i="9"/>
  <c r="X180" i="10"/>
  <c r="X71" i="22"/>
  <c r="AA36" i="9"/>
  <c r="AA63" i="9"/>
  <c r="AA76" i="9"/>
  <c r="AA45" i="9"/>
  <c r="AA47" i="9"/>
  <c r="AA49" i="9"/>
  <c r="AB13" i="9"/>
  <c r="V68" i="8"/>
  <c r="V69" i="8"/>
  <c r="G79" i="8"/>
  <c r="W71" i="22"/>
  <c r="Z21" i="26"/>
  <c r="Z20" i="29"/>
  <c r="Z22" i="29"/>
  <c r="U73" i="11"/>
  <c r="U65" i="11"/>
  <c r="U77" i="11"/>
  <c r="Q68" i="26"/>
  <c r="Q53" i="22"/>
  <c r="Q58" i="26"/>
  <c r="Q123" i="10"/>
  <c r="R55" i="26"/>
  <c r="W76" i="4"/>
  <c r="W75" i="4"/>
  <c r="W77" i="4"/>
  <c r="W130" i="10"/>
  <c r="Q54" i="29"/>
  <c r="Q60" i="29"/>
  <c r="W189" i="10"/>
  <c r="W70" i="22"/>
  <c r="V159" i="10"/>
  <c r="V139" i="10"/>
  <c r="V56" i="11"/>
  <c r="U151" i="10"/>
  <c r="AA41" i="4"/>
  <c r="Z55" i="4"/>
  <c r="Y62" i="4"/>
  <c r="Y63" i="4"/>
  <c r="Y64" i="4"/>
  <c r="Y68" i="4"/>
  <c r="Y71" i="4"/>
  <c r="Y72" i="4"/>
  <c r="Y73" i="4"/>
  <c r="X67" i="8"/>
  <c r="X68" i="8"/>
  <c r="X69" i="8"/>
  <c r="X131" i="10"/>
  <c r="X160" i="10"/>
  <c r="X65" i="8"/>
  <c r="Y64" i="8"/>
  <c r="Y66" i="8"/>
  <c r="E117" i="34"/>
  <c r="E119" i="34"/>
  <c r="X79" i="9"/>
  <c r="X80" i="9"/>
  <c r="X74" i="4"/>
  <c r="X75" i="4"/>
  <c r="AA51" i="26"/>
  <c r="AA53" i="26"/>
  <c r="Z59" i="8"/>
  <c r="Z63" i="8"/>
  <c r="Y64" i="29"/>
  <c r="Z51" i="22"/>
  <c r="Z179" i="10"/>
  <c r="Z46" i="4"/>
  <c r="Z121" i="10"/>
  <c r="E101" i="34"/>
  <c r="AA26" i="4"/>
  <c r="AA51" i="9"/>
  <c r="AA53" i="9"/>
  <c r="AB36" i="9"/>
  <c r="AB76" i="9"/>
  <c r="AB45" i="9"/>
  <c r="AC13" i="9"/>
  <c r="AB47" i="9"/>
  <c r="AB49" i="9"/>
  <c r="AB63" i="9"/>
  <c r="AB30" i="13"/>
  <c r="G86" i="13"/>
  <c r="AB45" i="13"/>
  <c r="AB19" i="13"/>
  <c r="AB47" i="13"/>
  <c r="AC13" i="13"/>
  <c r="AB67" i="13"/>
  <c r="Y72" i="9"/>
  <c r="Y71" i="9"/>
  <c r="Y77" i="9"/>
  <c r="AA43" i="8"/>
  <c r="Z45" i="8"/>
  <c r="Z122" i="10"/>
  <c r="F115" i="34"/>
  <c r="F119" i="34"/>
  <c r="Z52" i="22"/>
  <c r="Z53" i="13"/>
  <c r="Z55" i="13"/>
  <c r="H117" i="34"/>
  <c r="V194" i="10"/>
  <c r="V75" i="22"/>
  <c r="AB49" i="13"/>
  <c r="AC13" i="26"/>
  <c r="AB30" i="26"/>
  <c r="AB43" i="26"/>
  <c r="G91" i="26"/>
  <c r="G92" i="26"/>
  <c r="AB67" i="26"/>
  <c r="AB19" i="26"/>
  <c r="AB45" i="26"/>
  <c r="AA73" i="9"/>
  <c r="AA65" i="29"/>
  <c r="AA20" i="29"/>
  <c r="AA22" i="29"/>
  <c r="AA60" i="8"/>
  <c r="AA20" i="8"/>
  <c r="AA22" i="8"/>
  <c r="AA65" i="26"/>
  <c r="AA20" i="26"/>
  <c r="AA22" i="26"/>
  <c r="AA65" i="13"/>
  <c r="AA20" i="13"/>
  <c r="AA22" i="13"/>
  <c r="AA17" i="13"/>
  <c r="AB62" i="8"/>
  <c r="AB46" i="8"/>
  <c r="G86" i="8"/>
  <c r="G87" i="8"/>
  <c r="AB30" i="8"/>
  <c r="G81" i="8"/>
  <c r="AB49" i="8"/>
  <c r="AB51" i="8"/>
  <c r="AC13" i="8"/>
  <c r="AB19" i="8"/>
  <c r="Z62" i="13"/>
  <c r="Z64" i="13"/>
  <c r="AB16" i="29"/>
  <c r="AB17" i="4"/>
  <c r="AB18" i="4"/>
  <c r="AB16" i="8"/>
  <c r="AB16" i="9"/>
  <c r="AB17" i="9"/>
  <c r="AB69" i="9"/>
  <c r="AB16" i="13"/>
  <c r="AB98" i="10"/>
  <c r="AB16" i="26"/>
  <c r="AF93" i="10"/>
  <c r="AG95" i="10"/>
  <c r="AF116" i="10"/>
  <c r="AF92" i="10"/>
  <c r="W67" i="22"/>
  <c r="W81" i="9"/>
  <c r="G117" i="34"/>
  <c r="Z60" i="26"/>
  <c r="Z53" i="26"/>
  <c r="X71" i="13"/>
  <c r="X133" i="10"/>
  <c r="X70" i="13"/>
  <c r="X72" i="13"/>
  <c r="V82" i="9"/>
  <c r="V135" i="10"/>
  <c r="V83" i="9"/>
  <c r="V84" i="9"/>
  <c r="AA18" i="26"/>
  <c r="AA21" i="26"/>
  <c r="AA17" i="26"/>
  <c r="AD16" i="4"/>
  <c r="AD204" i="10"/>
  <c r="AD97" i="10"/>
  <c r="Y180" i="10"/>
  <c r="Y71" i="22"/>
  <c r="AB24" i="4"/>
  <c r="AC13" i="4"/>
  <c r="AB25" i="4"/>
  <c r="AB20" i="4"/>
  <c r="AB66" i="4"/>
  <c r="AB49" i="4"/>
  <c r="G94" i="4"/>
  <c r="AE166" i="10"/>
  <c r="W12" i="15"/>
  <c r="W5" i="30"/>
  <c r="AE198" i="10"/>
  <c r="AE176" i="10"/>
  <c r="AE6" i="11"/>
  <c r="AE53" i="11"/>
  <c r="AE148" i="10"/>
  <c r="AE39" i="22"/>
  <c r="AE58" i="22"/>
  <c r="AB28" i="4"/>
  <c r="AA44" i="4"/>
  <c r="AA46" i="4"/>
  <c r="AA121" i="10"/>
  <c r="AB43" i="29"/>
  <c r="G95" i="29"/>
  <c r="G96" i="29"/>
  <c r="AC13" i="29"/>
  <c r="AB67" i="29"/>
  <c r="AB19" i="29"/>
  <c r="Y59" i="9"/>
  <c r="X64" i="9"/>
  <c r="X126" i="10"/>
  <c r="Y50" i="11"/>
  <c r="Y65" i="8"/>
  <c r="X73" i="22"/>
  <c r="X192" i="10"/>
  <c r="K163" i="4"/>
  <c r="K168" i="4"/>
  <c r="K172" i="4"/>
  <c r="J168" i="4"/>
  <c r="J172" i="4"/>
  <c r="W160" i="10"/>
  <c r="W57" i="11"/>
  <c r="W66" i="11"/>
  <c r="W140" i="10"/>
  <c r="W152" i="10"/>
  <c r="AB47" i="26"/>
  <c r="AC47" i="26"/>
  <c r="AA51" i="13"/>
  <c r="AA53" i="13"/>
  <c r="AA17" i="29"/>
  <c r="AA17" i="8"/>
  <c r="Y58" i="13"/>
  <c r="Y124" i="10"/>
  <c r="Z48" i="11"/>
  <c r="Y68" i="13"/>
  <c r="AA43" i="13"/>
  <c r="H115" i="34"/>
  <c r="Z54" i="22"/>
  <c r="Z182" i="10"/>
  <c r="U61" i="11"/>
  <c r="U70" i="11"/>
  <c r="U164" i="10"/>
  <c r="U144" i="10"/>
  <c r="U156" i="10"/>
  <c r="W59" i="11"/>
  <c r="W68" i="11"/>
  <c r="W142" i="10"/>
  <c r="W154" i="10"/>
  <c r="W162" i="10"/>
  <c r="AC97" i="10"/>
  <c r="AC16" i="4"/>
  <c r="AC204" i="10"/>
  <c r="W68" i="8"/>
  <c r="W69" i="8"/>
  <c r="Z70" i="9"/>
  <c r="Z55" i="9"/>
  <c r="Z57" i="9"/>
  <c r="AE94" i="10"/>
  <c r="Y74" i="4"/>
  <c r="Y62" i="22"/>
  <c r="AA45" i="11"/>
  <c r="E129" i="34"/>
  <c r="Z57" i="4"/>
  <c r="Z60" i="4"/>
  <c r="Z61" i="4"/>
  <c r="V73" i="11"/>
  <c r="V65" i="11"/>
  <c r="V77" i="11"/>
  <c r="W139" i="10"/>
  <c r="W159" i="10"/>
  <c r="W56" i="11"/>
  <c r="Q69" i="26"/>
  <c r="Q64" i="22"/>
  <c r="Q72" i="22"/>
  <c r="X189" i="10"/>
  <c r="X70" i="22"/>
  <c r="Q181" i="10"/>
  <c r="Q55" i="22"/>
  <c r="Q50" i="22"/>
  <c r="R54" i="29"/>
  <c r="Q57" i="29"/>
  <c r="Q125" i="10"/>
  <c r="R49" i="11"/>
  <c r="R47" i="11"/>
  <c r="AB41" i="4"/>
  <c r="AA55" i="4"/>
  <c r="AA57" i="4"/>
  <c r="AA60" i="4"/>
  <c r="V151" i="10"/>
  <c r="Q64" i="29"/>
  <c r="Q68" i="29"/>
  <c r="Q62" i="29"/>
  <c r="R53" i="22"/>
  <c r="R68" i="26"/>
  <c r="S55" i="26"/>
  <c r="R58" i="26"/>
  <c r="R123" i="10"/>
  <c r="X140" i="10"/>
  <c r="X152" i="10"/>
  <c r="X57" i="11"/>
  <c r="X66" i="11"/>
  <c r="Y67" i="8"/>
  <c r="Y68" i="8"/>
  <c r="Y69" i="8"/>
  <c r="Y131" i="10"/>
  <c r="AA60" i="26"/>
  <c r="AA64" i="26"/>
  <c r="X77" i="4"/>
  <c r="X76" i="4"/>
  <c r="X130" i="10"/>
  <c r="X139" i="10"/>
  <c r="AA18" i="8"/>
  <c r="AA21" i="8"/>
  <c r="AA55" i="8"/>
  <c r="AA57" i="8"/>
  <c r="AA59" i="8"/>
  <c r="AA63" i="8"/>
  <c r="Z52" i="29"/>
  <c r="Z60" i="29"/>
  <c r="Z62" i="29"/>
  <c r="H119" i="34"/>
  <c r="G98" i="4"/>
  <c r="AA18" i="13"/>
  <c r="AA21" i="13"/>
  <c r="AA60" i="13"/>
  <c r="AA62" i="13"/>
  <c r="AA51" i="22"/>
  <c r="AA179" i="10"/>
  <c r="AA18" i="29"/>
  <c r="AA21" i="29"/>
  <c r="AA61" i="4"/>
  <c r="AA62" i="4"/>
  <c r="Q120" i="10"/>
  <c r="R44" i="11"/>
  <c r="AB51" i="9"/>
  <c r="AB53" i="9"/>
  <c r="Z72" i="9"/>
  <c r="Z71" i="9"/>
  <c r="Z77" i="9"/>
  <c r="Z59" i="9"/>
  <c r="Y64" i="9"/>
  <c r="Y126" i="10"/>
  <c r="Z50" i="11"/>
  <c r="V61" i="11"/>
  <c r="V70" i="11"/>
  <c r="V164" i="10"/>
  <c r="V144" i="10"/>
  <c r="V156" i="10"/>
  <c r="X142" i="10"/>
  <c r="X154" i="10"/>
  <c r="X59" i="11"/>
  <c r="X68" i="11"/>
  <c r="X162" i="10"/>
  <c r="AF39" i="22"/>
  <c r="AF58" i="22"/>
  <c r="X5" i="30"/>
  <c r="AF166" i="10"/>
  <c r="X12" i="15"/>
  <c r="AF148" i="10"/>
  <c r="AF6" i="11"/>
  <c r="AF53" i="11"/>
  <c r="AF198" i="10"/>
  <c r="AF176" i="10"/>
  <c r="AB60" i="8"/>
  <c r="AB20" i="8"/>
  <c r="AB22" i="8"/>
  <c r="AB65" i="13"/>
  <c r="AB20" i="13"/>
  <c r="AB22" i="13"/>
  <c r="AB73" i="9"/>
  <c r="AB65" i="29"/>
  <c r="AB20" i="29"/>
  <c r="AB22" i="29"/>
  <c r="AB65" i="26"/>
  <c r="AB20" i="26"/>
  <c r="AB22" i="26"/>
  <c r="AB51" i="13"/>
  <c r="AB53" i="13"/>
  <c r="AA55" i="9"/>
  <c r="AA57" i="9"/>
  <c r="AA70" i="9"/>
  <c r="AB26" i="4"/>
  <c r="Y79" i="9"/>
  <c r="Y80" i="9"/>
  <c r="G82" i="8"/>
  <c r="G83" i="8"/>
  <c r="G97" i="8"/>
  <c r="G99" i="8"/>
  <c r="Y65" i="22"/>
  <c r="Y69" i="13"/>
  <c r="K175" i="4"/>
  <c r="C171" i="32"/>
  <c r="E171" i="32"/>
  <c r="K179" i="4"/>
  <c r="X81" i="9"/>
  <c r="X67" i="22"/>
  <c r="AC67" i="29"/>
  <c r="AD13" i="29"/>
  <c r="AC19" i="29"/>
  <c r="AC43" i="29"/>
  <c r="AC66" i="4"/>
  <c r="AC24" i="4"/>
  <c r="AC49" i="4"/>
  <c r="AD13" i="4"/>
  <c r="AC25" i="4"/>
  <c r="AC20" i="4"/>
  <c r="AD17" i="4"/>
  <c r="AD18" i="4"/>
  <c r="AD16" i="26"/>
  <c r="AD98" i="10"/>
  <c r="AD16" i="13"/>
  <c r="AD16" i="29"/>
  <c r="AD16" i="8"/>
  <c r="AD16" i="9"/>
  <c r="AD17" i="9"/>
  <c r="AD69" i="9"/>
  <c r="Z64" i="26"/>
  <c r="Z62" i="26"/>
  <c r="AB17" i="26"/>
  <c r="AB17" i="8"/>
  <c r="Z180" i="10"/>
  <c r="AA52" i="22"/>
  <c r="AA45" i="8"/>
  <c r="AA122" i="10"/>
  <c r="AB46" i="11"/>
  <c r="AB43" i="8"/>
  <c r="AC19" i="13"/>
  <c r="AD13" i="13"/>
  <c r="AC30" i="13"/>
  <c r="AC67" i="13"/>
  <c r="AC45" i="13"/>
  <c r="AC47" i="13"/>
  <c r="AA52" i="29"/>
  <c r="AF94" i="10"/>
  <c r="G90" i="8"/>
  <c r="AB43" i="13"/>
  <c r="AA54" i="22"/>
  <c r="AA182" i="10"/>
  <c r="C170" i="32"/>
  <c r="E170" i="32"/>
  <c r="J179" i="4"/>
  <c r="J175" i="4"/>
  <c r="Y160" i="10"/>
  <c r="Y57" i="11"/>
  <c r="Y66" i="11"/>
  <c r="Y140" i="10"/>
  <c r="Y152" i="10"/>
  <c r="AB44" i="4"/>
  <c r="AB51" i="22"/>
  <c r="AB179" i="10"/>
  <c r="AC28" i="4"/>
  <c r="X73" i="13"/>
  <c r="X74" i="13"/>
  <c r="Z64" i="29"/>
  <c r="W75" i="22"/>
  <c r="W194" i="10"/>
  <c r="F101" i="34"/>
  <c r="AA46" i="11"/>
  <c r="G91" i="13"/>
  <c r="G92" i="13"/>
  <c r="AD13" i="9"/>
  <c r="AC36" i="9"/>
  <c r="AC76" i="9"/>
  <c r="AC45" i="9"/>
  <c r="AC47" i="9"/>
  <c r="AC49" i="9"/>
  <c r="AC63" i="9"/>
  <c r="AC49" i="13"/>
  <c r="AE15" i="9"/>
  <c r="AE15" i="29"/>
  <c r="AE196" i="10"/>
  <c r="AE15" i="13"/>
  <c r="AE15" i="26"/>
  <c r="AE15" i="4"/>
  <c r="AE110" i="10"/>
  <c r="AE174" i="10"/>
  <c r="AE146" i="10"/>
  <c r="AE15" i="8"/>
  <c r="AE96" i="10"/>
  <c r="AC17" i="4"/>
  <c r="AC18" i="4"/>
  <c r="AC16" i="9"/>
  <c r="AC17" i="9"/>
  <c r="AC69" i="9"/>
  <c r="AC16" i="29"/>
  <c r="AC16" i="26"/>
  <c r="AC98" i="10"/>
  <c r="AC16" i="13"/>
  <c r="AC16" i="8"/>
  <c r="Z68" i="13"/>
  <c r="AA55" i="13"/>
  <c r="Z58" i="13"/>
  <c r="Z124" i="10"/>
  <c r="G89" i="4"/>
  <c r="G93" i="4"/>
  <c r="G95" i="4"/>
  <c r="W135" i="10"/>
  <c r="W84" i="9"/>
  <c r="W82" i="9"/>
  <c r="W83" i="9"/>
  <c r="AG116" i="10"/>
  <c r="AG93" i="10"/>
  <c r="AH95" i="10"/>
  <c r="AG92" i="10"/>
  <c r="AB17" i="13"/>
  <c r="AB17" i="29"/>
  <c r="AC46" i="8"/>
  <c r="AC30" i="8"/>
  <c r="AC62" i="8"/>
  <c r="AC19" i="8"/>
  <c r="AC49" i="8"/>
  <c r="AC51" i="8"/>
  <c r="AD13" i="8"/>
  <c r="AD13" i="26"/>
  <c r="AD47" i="26"/>
  <c r="AC67" i="26"/>
  <c r="AC30" i="26"/>
  <c r="AC43" i="26"/>
  <c r="AC19" i="26"/>
  <c r="AC45" i="26"/>
  <c r="AC51" i="26"/>
  <c r="Z64" i="8"/>
  <c r="G91" i="8"/>
  <c r="Z63" i="22"/>
  <c r="Z190" i="10"/>
  <c r="AB51" i="26"/>
  <c r="Q69" i="29"/>
  <c r="Q66" i="22"/>
  <c r="Q193" i="10"/>
  <c r="Q41" i="22"/>
  <c r="AA64" i="4"/>
  <c r="AA68" i="4"/>
  <c r="AA71" i="4"/>
  <c r="AA72" i="4"/>
  <c r="AA73" i="4"/>
  <c r="Q191" i="10"/>
  <c r="W73" i="11"/>
  <c r="W65" i="11"/>
  <c r="W77" i="11"/>
  <c r="Y189" i="10"/>
  <c r="Y70" i="22"/>
  <c r="Q183" i="10"/>
  <c r="Q178" i="10"/>
  <c r="AB45" i="11"/>
  <c r="R69" i="26"/>
  <c r="R64" i="22"/>
  <c r="R72" i="22"/>
  <c r="S58" i="26"/>
  <c r="S123" i="10"/>
  <c r="T55" i="26"/>
  <c r="S68" i="26"/>
  <c r="S53" i="22"/>
  <c r="S47" i="11"/>
  <c r="W151" i="10"/>
  <c r="X159" i="10"/>
  <c r="R181" i="10"/>
  <c r="AC41" i="4"/>
  <c r="AB55" i="4"/>
  <c r="AB57" i="4"/>
  <c r="AB60" i="4"/>
  <c r="R55" i="22"/>
  <c r="S54" i="29"/>
  <c r="R68" i="29"/>
  <c r="R57" i="29"/>
  <c r="R125" i="10"/>
  <c r="S49" i="11"/>
  <c r="Q132" i="10"/>
  <c r="Q72" i="26"/>
  <c r="Q70" i="26"/>
  <c r="Q71" i="26"/>
  <c r="Z64" i="4"/>
  <c r="Z68" i="4"/>
  <c r="Z71" i="4"/>
  <c r="Z72" i="4"/>
  <c r="Z62" i="4"/>
  <c r="Z63" i="4"/>
  <c r="Y130" i="10"/>
  <c r="Y76" i="4"/>
  <c r="Y77" i="4"/>
  <c r="Y75" i="4"/>
  <c r="AA62" i="26"/>
  <c r="AD49" i="13"/>
  <c r="AB18" i="29"/>
  <c r="AB21" i="29"/>
  <c r="G92" i="8"/>
  <c r="X56" i="11"/>
  <c r="X65" i="11"/>
  <c r="X77" i="11"/>
  <c r="Q7" i="11"/>
  <c r="AB61" i="4"/>
  <c r="AB64" i="4"/>
  <c r="AB68" i="4"/>
  <c r="AB71" i="4"/>
  <c r="AB72" i="4"/>
  <c r="AB73" i="4"/>
  <c r="AB46" i="4"/>
  <c r="AB121" i="10"/>
  <c r="AA60" i="29"/>
  <c r="AA62" i="29"/>
  <c r="AB18" i="8"/>
  <c r="AB21" i="8"/>
  <c r="AB55" i="8"/>
  <c r="AB57" i="8"/>
  <c r="AB59" i="8"/>
  <c r="AB63" i="8"/>
  <c r="AA64" i="13"/>
  <c r="AA68" i="13"/>
  <c r="AB18" i="26"/>
  <c r="AB21" i="26"/>
  <c r="AB60" i="26"/>
  <c r="AB18" i="13"/>
  <c r="AB21" i="13"/>
  <c r="AB60" i="13"/>
  <c r="AB62" i="13"/>
  <c r="Q188" i="10"/>
  <c r="Q74" i="22"/>
  <c r="AC51" i="9"/>
  <c r="AC53" i="9"/>
  <c r="AG198" i="10"/>
  <c r="Y5" i="30"/>
  <c r="AG39" i="22"/>
  <c r="AG58" i="22"/>
  <c r="AG176" i="10"/>
  <c r="AG148" i="10"/>
  <c r="Y12" i="15"/>
  <c r="AG166" i="10"/>
  <c r="AG6" i="11"/>
  <c r="AG53" i="11"/>
  <c r="W144" i="10"/>
  <c r="W156" i="10"/>
  <c r="W164" i="10"/>
  <c r="W61" i="11"/>
  <c r="W70" i="11"/>
  <c r="AC17" i="8"/>
  <c r="AC17" i="29"/>
  <c r="AF15" i="9"/>
  <c r="AF15" i="26"/>
  <c r="AF15" i="8"/>
  <c r="AF110" i="10"/>
  <c r="AF174" i="10"/>
  <c r="AF196" i="10"/>
  <c r="AF15" i="4"/>
  <c r="AF15" i="29"/>
  <c r="AF146" i="10"/>
  <c r="AF15" i="13"/>
  <c r="AF96" i="10"/>
  <c r="AB52" i="22"/>
  <c r="AC43" i="8"/>
  <c r="AB45" i="8"/>
  <c r="AB122" i="10"/>
  <c r="AC46" i="11"/>
  <c r="AD60" i="8"/>
  <c r="AD18" i="8"/>
  <c r="AD65" i="13"/>
  <c r="AD18" i="13"/>
  <c r="AD73" i="9"/>
  <c r="AD65" i="29"/>
  <c r="AD18" i="29"/>
  <c r="AD65" i="26"/>
  <c r="AD18" i="26"/>
  <c r="G100" i="8"/>
  <c r="G231" i="10"/>
  <c r="AA72" i="9"/>
  <c r="AA71" i="9"/>
  <c r="AA77" i="9"/>
  <c r="Z64" i="9"/>
  <c r="Z126" i="10"/>
  <c r="AA59" i="9"/>
  <c r="Z71" i="22"/>
  <c r="AD46" i="8"/>
  <c r="AD30" i="8"/>
  <c r="AE13" i="8"/>
  <c r="AD19" i="8"/>
  <c r="AD49" i="8"/>
  <c r="AD51" i="8"/>
  <c r="AD62" i="8"/>
  <c r="Z65" i="22"/>
  <c r="Z69" i="13"/>
  <c r="AC17" i="26"/>
  <c r="AE16" i="4"/>
  <c r="AE97" i="10"/>
  <c r="AE204" i="10"/>
  <c r="J183" i="4"/>
  <c r="C172" i="32"/>
  <c r="E172" i="32"/>
  <c r="AA63" i="22"/>
  <c r="AA190" i="10"/>
  <c r="AA64" i="8"/>
  <c r="AD17" i="13"/>
  <c r="AE13" i="29"/>
  <c r="AD67" i="29"/>
  <c r="AD19" i="29"/>
  <c r="AD43" i="29"/>
  <c r="C173" i="32"/>
  <c r="E173" i="32"/>
  <c r="K183" i="4"/>
  <c r="Y73" i="22"/>
  <c r="Y192" i="10"/>
  <c r="AB70" i="9"/>
  <c r="AB55" i="9"/>
  <c r="AB57" i="9"/>
  <c r="G95" i="13"/>
  <c r="G102" i="8"/>
  <c r="AC26" i="4"/>
  <c r="G94" i="8"/>
  <c r="AB53" i="26"/>
  <c r="AB52" i="29"/>
  <c r="AB60" i="29"/>
  <c r="AC53" i="26"/>
  <c r="AD30" i="26"/>
  <c r="AD43" i="26"/>
  <c r="AD19" i="26"/>
  <c r="AE13" i="26"/>
  <c r="AE47" i="26"/>
  <c r="AD67" i="26"/>
  <c r="AD45" i="26"/>
  <c r="AD51" i="26"/>
  <c r="AH93" i="10"/>
  <c r="AH92" i="10"/>
  <c r="AI95" i="10"/>
  <c r="AH116" i="10"/>
  <c r="AA58" i="13"/>
  <c r="AA124" i="10"/>
  <c r="AB48" i="11"/>
  <c r="AB55" i="13"/>
  <c r="AC60" i="8"/>
  <c r="AC20" i="8"/>
  <c r="AC22" i="8"/>
  <c r="AC65" i="13"/>
  <c r="AC20" i="13"/>
  <c r="AC22" i="13"/>
  <c r="AC73" i="9"/>
  <c r="AC65" i="29"/>
  <c r="AC20" i="29"/>
  <c r="AC22" i="29"/>
  <c r="AC65" i="26"/>
  <c r="AC20" i="26"/>
  <c r="AC22" i="26"/>
  <c r="AD63" i="9"/>
  <c r="AD76" i="9"/>
  <c r="AD47" i="9"/>
  <c r="AD49" i="9"/>
  <c r="AE13" i="9"/>
  <c r="AD45" i="9"/>
  <c r="AD36" i="9"/>
  <c r="AB54" i="22"/>
  <c r="AB182" i="10"/>
  <c r="AC43" i="13"/>
  <c r="AC51" i="13"/>
  <c r="AC53" i="13"/>
  <c r="AE13" i="13"/>
  <c r="AD67" i="13"/>
  <c r="AD19" i="13"/>
  <c r="AD30" i="13"/>
  <c r="AD45" i="13"/>
  <c r="AD47" i="13"/>
  <c r="AA180" i="10"/>
  <c r="AD17" i="29"/>
  <c r="X84" i="9"/>
  <c r="X135" i="10"/>
  <c r="X83" i="9"/>
  <c r="X82" i="9"/>
  <c r="Y72" i="13"/>
  <c r="Y133" i="10"/>
  <c r="Y71" i="13"/>
  <c r="Y70" i="13"/>
  <c r="Q61" i="22"/>
  <c r="Q43" i="22"/>
  <c r="G87" i="13"/>
  <c r="G88" i="13"/>
  <c r="G102" i="13"/>
  <c r="G104" i="13"/>
  <c r="Z66" i="8"/>
  <c r="Z65" i="8"/>
  <c r="Z131" i="10"/>
  <c r="Z67" i="8"/>
  <c r="H101" i="34"/>
  <c r="AA48" i="11"/>
  <c r="AC17" i="13"/>
  <c r="AC44" i="4"/>
  <c r="AC51" i="22"/>
  <c r="AD28" i="4"/>
  <c r="AD17" i="8"/>
  <c r="AD17" i="26"/>
  <c r="AD25" i="4"/>
  <c r="AD24" i="4"/>
  <c r="AE13" i="4"/>
  <c r="AD66" i="4"/>
  <c r="AD49" i="4"/>
  <c r="AD20" i="4"/>
  <c r="X75" i="22"/>
  <c r="X194" i="10"/>
  <c r="Y81" i="9"/>
  <c r="Y67" i="22"/>
  <c r="AG94" i="10"/>
  <c r="Z79" i="9"/>
  <c r="Z80" i="9"/>
  <c r="S55" i="22"/>
  <c r="S50" i="22"/>
  <c r="S68" i="29"/>
  <c r="T54" i="29"/>
  <c r="S57" i="29"/>
  <c r="S125" i="10"/>
  <c r="T49" i="11"/>
  <c r="S181" i="10"/>
  <c r="R191" i="10"/>
  <c r="AA74" i="4"/>
  <c r="AA62" i="22"/>
  <c r="R120" i="10"/>
  <c r="R69" i="29"/>
  <c r="R66" i="22"/>
  <c r="R193" i="10"/>
  <c r="T47" i="11"/>
  <c r="Q70" i="29"/>
  <c r="Q71" i="29"/>
  <c r="Q134" i="10"/>
  <c r="Q72" i="29"/>
  <c r="Q73" i="26"/>
  <c r="Q74" i="26"/>
  <c r="Z73" i="4"/>
  <c r="G90" i="4"/>
  <c r="G91" i="4"/>
  <c r="AD41" i="4"/>
  <c r="AC55" i="4"/>
  <c r="AC57" i="4"/>
  <c r="AC60" i="4"/>
  <c r="X151" i="10"/>
  <c r="T58" i="26"/>
  <c r="T123" i="10"/>
  <c r="T53" i="22"/>
  <c r="T68" i="26"/>
  <c r="U55" i="26"/>
  <c r="AC45" i="11"/>
  <c r="Y159" i="10"/>
  <c r="Y56" i="11"/>
  <c r="Y139" i="10"/>
  <c r="Q141" i="10"/>
  <c r="Q58" i="11"/>
  <c r="Q161" i="10"/>
  <c r="R183" i="10"/>
  <c r="R178" i="10"/>
  <c r="S64" i="22"/>
  <c r="S69" i="26"/>
  <c r="R71" i="26"/>
  <c r="R70" i="26"/>
  <c r="R72" i="26"/>
  <c r="R132" i="10"/>
  <c r="R50" i="22"/>
  <c r="AA63" i="4"/>
  <c r="AB62" i="4"/>
  <c r="AB63" i="4"/>
  <c r="AA71" i="22"/>
  <c r="AA64" i="29"/>
  <c r="X73" i="11"/>
  <c r="AB64" i="13"/>
  <c r="AB68" i="13"/>
  <c r="R74" i="22"/>
  <c r="AC18" i="13"/>
  <c r="AC21" i="13"/>
  <c r="AC60" i="13"/>
  <c r="AC64" i="13"/>
  <c r="AC52" i="29"/>
  <c r="AC61" i="4"/>
  <c r="AC64" i="4"/>
  <c r="AC68" i="4"/>
  <c r="AC71" i="4"/>
  <c r="AC72" i="4"/>
  <c r="AC73" i="4"/>
  <c r="AD21" i="29"/>
  <c r="Q69" i="22"/>
  <c r="AD21" i="26"/>
  <c r="AD60" i="26"/>
  <c r="AD21" i="8"/>
  <c r="AD55" i="8"/>
  <c r="AD57" i="8"/>
  <c r="AD59" i="8"/>
  <c r="AD26" i="4"/>
  <c r="AC46" i="4"/>
  <c r="AC121" i="10"/>
  <c r="AD45" i="11"/>
  <c r="S120" i="10"/>
  <c r="T44" i="11"/>
  <c r="AA79" i="9"/>
  <c r="AA80" i="9"/>
  <c r="AA67" i="22"/>
  <c r="Z67" i="22"/>
  <c r="Z81" i="9"/>
  <c r="AD51" i="9"/>
  <c r="AD53" i="9"/>
  <c r="Y75" i="22"/>
  <c r="Y194" i="10"/>
  <c r="AD44" i="4"/>
  <c r="AD51" i="22"/>
  <c r="AD179" i="10"/>
  <c r="AE28" i="4"/>
  <c r="AD51" i="13"/>
  <c r="AD53" i="13"/>
  <c r="AD43" i="13"/>
  <c r="AC54" i="22"/>
  <c r="AC182" i="10"/>
  <c r="AE63" i="9"/>
  <c r="AE45" i="9"/>
  <c r="AE76" i="9"/>
  <c r="AF13" i="9"/>
  <c r="AE47" i="9"/>
  <c r="AE49" i="9"/>
  <c r="AE36" i="9"/>
  <c r="AH6" i="11"/>
  <c r="AH53" i="11"/>
  <c r="AH148" i="10"/>
  <c r="AH198" i="10"/>
  <c r="Z12" i="15"/>
  <c r="AH166" i="10"/>
  <c r="Z5" i="30"/>
  <c r="AH176" i="10"/>
  <c r="AH39" i="22"/>
  <c r="AH58" i="22"/>
  <c r="AD53" i="26"/>
  <c r="AB64" i="29"/>
  <c r="AB62" i="29"/>
  <c r="Z73" i="22"/>
  <c r="Z192" i="10"/>
  <c r="AE19" i="8"/>
  <c r="AE49" i="8"/>
  <c r="AE51" i="8"/>
  <c r="AE30" i="8"/>
  <c r="AF13" i="8"/>
  <c r="AE46" i="8"/>
  <c r="AE62" i="8"/>
  <c r="AC45" i="8"/>
  <c r="AC122" i="10"/>
  <c r="AD46" i="11"/>
  <c r="AD43" i="8"/>
  <c r="AC52" i="22"/>
  <c r="R188" i="10"/>
  <c r="G99" i="13"/>
  <c r="AD20" i="13"/>
  <c r="AD22" i="13"/>
  <c r="AC18" i="8"/>
  <c r="AC21" i="8"/>
  <c r="AC55" i="8"/>
  <c r="AC57" i="8"/>
  <c r="AC59" i="8"/>
  <c r="AC63" i="8"/>
  <c r="AE66" i="4"/>
  <c r="AE20" i="4"/>
  <c r="AE24" i="4"/>
  <c r="AE49" i="4"/>
  <c r="AF13" i="4"/>
  <c r="AE25" i="4"/>
  <c r="Z57" i="11"/>
  <c r="Z66" i="11"/>
  <c r="Z160" i="10"/>
  <c r="Z140" i="10"/>
  <c r="Y73" i="13"/>
  <c r="Y74" i="13"/>
  <c r="AA65" i="22"/>
  <c r="AA69" i="13"/>
  <c r="AB64" i="26"/>
  <c r="AB62" i="26"/>
  <c r="G105" i="8"/>
  <c r="F56" i="34"/>
  <c r="F92" i="34"/>
  <c r="F97" i="34"/>
  <c r="F121" i="34"/>
  <c r="F123" i="34"/>
  <c r="F125" i="34"/>
  <c r="F127" i="34"/>
  <c r="F131" i="34"/>
  <c r="F133" i="34"/>
  <c r="F135" i="34"/>
  <c r="F54" i="34"/>
  <c r="F103" i="34"/>
  <c r="F105" i="34"/>
  <c r="F109" i="34"/>
  <c r="AB72" i="9"/>
  <c r="AB71" i="9"/>
  <c r="AB77" i="9"/>
  <c r="AF13" i="29"/>
  <c r="AE43" i="29"/>
  <c r="AE19" i="29"/>
  <c r="AE67" i="29"/>
  <c r="AE16" i="13"/>
  <c r="AE98" i="10"/>
  <c r="AE16" i="9"/>
  <c r="AE17" i="9"/>
  <c r="AE69" i="9"/>
  <c r="AE16" i="8"/>
  <c r="AE16" i="26"/>
  <c r="AE17" i="4"/>
  <c r="AE18" i="4"/>
  <c r="AE16" i="29"/>
  <c r="Z72" i="13"/>
  <c r="Z73" i="13"/>
  <c r="Z74" i="13"/>
  <c r="Z70" i="13"/>
  <c r="Z133" i="10"/>
  <c r="Z71" i="13"/>
  <c r="G96" i="13"/>
  <c r="G97" i="13"/>
  <c r="AB64" i="8"/>
  <c r="AB63" i="22"/>
  <c r="AB190" i="10"/>
  <c r="AC70" i="9"/>
  <c r="AC55" i="9"/>
  <c r="AC57" i="9"/>
  <c r="AG15" i="26"/>
  <c r="AG15" i="9"/>
  <c r="AG15" i="8"/>
  <c r="AG174" i="10"/>
  <c r="AG196" i="10"/>
  <c r="AG15" i="13"/>
  <c r="AG146" i="10"/>
  <c r="AG110" i="10"/>
  <c r="AG15" i="4"/>
  <c r="AG15" i="29"/>
  <c r="AG96" i="10"/>
  <c r="Z68" i="8"/>
  <c r="Z69" i="8"/>
  <c r="G233" i="10"/>
  <c r="G105" i="13"/>
  <c r="Y59" i="11"/>
  <c r="Y68" i="11"/>
  <c r="Y162" i="10"/>
  <c r="Y142" i="10"/>
  <c r="Y154" i="10"/>
  <c r="X61" i="11"/>
  <c r="X70" i="11"/>
  <c r="X164" i="10"/>
  <c r="X144" i="10"/>
  <c r="X156" i="10"/>
  <c r="AE30" i="26"/>
  <c r="AE43" i="26"/>
  <c r="AE19" i="26"/>
  <c r="AF13" i="26"/>
  <c r="AE67" i="26"/>
  <c r="AE45" i="26"/>
  <c r="AE51" i="26"/>
  <c r="AA65" i="8"/>
  <c r="AA66" i="8"/>
  <c r="AA67" i="8"/>
  <c r="AA68" i="8"/>
  <c r="AA69" i="8"/>
  <c r="AA131" i="10"/>
  <c r="J101" i="34"/>
  <c r="AA50" i="11"/>
  <c r="AF16" i="4"/>
  <c r="AF97" i="10"/>
  <c r="AF204" i="10"/>
  <c r="AH94" i="10"/>
  <c r="AC18" i="26"/>
  <c r="AC21" i="26"/>
  <c r="AC60" i="26"/>
  <c r="G104" i="8"/>
  <c r="F58" i="34"/>
  <c r="F60" i="34"/>
  <c r="AD20" i="29"/>
  <c r="AD22" i="29"/>
  <c r="Y83" i="9"/>
  <c r="Y135" i="10"/>
  <c r="Y84" i="9"/>
  <c r="Y82" i="9"/>
  <c r="AE45" i="13"/>
  <c r="AE30" i="13"/>
  <c r="AE67" i="13"/>
  <c r="AE47" i="13"/>
  <c r="AF13" i="13"/>
  <c r="AE19" i="13"/>
  <c r="AC55" i="13"/>
  <c r="AB58" i="13"/>
  <c r="AB124" i="10"/>
  <c r="AC48" i="11"/>
  <c r="AI116" i="10"/>
  <c r="AI93" i="10"/>
  <c r="AJ95" i="10"/>
  <c r="AI92" i="10"/>
  <c r="AB59" i="9"/>
  <c r="AA64" i="9"/>
  <c r="AA126" i="10"/>
  <c r="AB50" i="11"/>
  <c r="AB180" i="10"/>
  <c r="AE49" i="13"/>
  <c r="AD21" i="13"/>
  <c r="AD60" i="13"/>
  <c r="AD20" i="26"/>
  <c r="AD22" i="26"/>
  <c r="AD20" i="8"/>
  <c r="AD22" i="8"/>
  <c r="AC18" i="29"/>
  <c r="AC21" i="29"/>
  <c r="Y151" i="10"/>
  <c r="R73" i="26"/>
  <c r="R74" i="26"/>
  <c r="S191" i="10"/>
  <c r="AB74" i="4"/>
  <c r="AB62" i="22"/>
  <c r="Q67" i="11"/>
  <c r="Y73" i="11"/>
  <c r="Y65" i="11"/>
  <c r="Y77" i="11"/>
  <c r="T64" i="22"/>
  <c r="T72" i="22"/>
  <c r="T69" i="26"/>
  <c r="G105" i="4"/>
  <c r="G107" i="4"/>
  <c r="G102" i="4"/>
  <c r="R7" i="11"/>
  <c r="S44" i="11"/>
  <c r="S41" i="22"/>
  <c r="T55" i="22"/>
  <c r="T50" i="22"/>
  <c r="T68" i="29"/>
  <c r="U54" i="29"/>
  <c r="T57" i="29"/>
  <c r="T125" i="10"/>
  <c r="U49" i="11"/>
  <c r="S72" i="26"/>
  <c r="S71" i="26"/>
  <c r="S132" i="10"/>
  <c r="S70" i="26"/>
  <c r="U58" i="26"/>
  <c r="U123" i="10"/>
  <c r="U68" i="26"/>
  <c r="U53" i="22"/>
  <c r="V55" i="26"/>
  <c r="Q163" i="10"/>
  <c r="Q143" i="10"/>
  <c r="Q138" i="10"/>
  <c r="Q60" i="11"/>
  <c r="Q69" i="11"/>
  <c r="R41" i="22"/>
  <c r="U47" i="11"/>
  <c r="Q73" i="29"/>
  <c r="Q74" i="29"/>
  <c r="Q200" i="10"/>
  <c r="R71" i="29"/>
  <c r="R134" i="10"/>
  <c r="R70" i="29"/>
  <c r="R72" i="29"/>
  <c r="AA130" i="10"/>
  <c r="AA77" i="4"/>
  <c r="AA76" i="4"/>
  <c r="AA75" i="4"/>
  <c r="S183" i="10"/>
  <c r="S178" i="10"/>
  <c r="Q129" i="10"/>
  <c r="R61" i="22"/>
  <c r="R43" i="22"/>
  <c r="R58" i="11"/>
  <c r="R141" i="10"/>
  <c r="R161" i="10"/>
  <c r="AC179" i="10"/>
  <c r="Q153" i="10"/>
  <c r="T181" i="10"/>
  <c r="AE41" i="4"/>
  <c r="AD55" i="4"/>
  <c r="AD57" i="4"/>
  <c r="AD60" i="4"/>
  <c r="Z74" i="4"/>
  <c r="Z62" i="22"/>
  <c r="O226" i="4"/>
  <c r="O234" i="4"/>
  <c r="AA189" i="10"/>
  <c r="AA70" i="22"/>
  <c r="S69" i="29"/>
  <c r="S66" i="22"/>
  <c r="S193" i="10"/>
  <c r="S72" i="22"/>
  <c r="AI94" i="10"/>
  <c r="AI110" i="10"/>
  <c r="AC62" i="4"/>
  <c r="AC63" i="4"/>
  <c r="AC62" i="13"/>
  <c r="AA81" i="9"/>
  <c r="AA82" i="9"/>
  <c r="AD61" i="4"/>
  <c r="AD62" i="4"/>
  <c r="AD46" i="4"/>
  <c r="AD121" i="10"/>
  <c r="AE45" i="11"/>
  <c r="AC60" i="29"/>
  <c r="AC64" i="29"/>
  <c r="S7" i="11"/>
  <c r="AF49" i="13"/>
  <c r="AB71" i="22"/>
  <c r="AE51" i="9"/>
  <c r="AE53" i="9"/>
  <c r="AC63" i="22"/>
  <c r="AC190" i="10"/>
  <c r="AC64" i="8"/>
  <c r="AD62" i="13"/>
  <c r="AD64" i="13"/>
  <c r="AC68" i="13"/>
  <c r="AD55" i="13"/>
  <c r="AC58" i="13"/>
  <c r="AC124" i="10"/>
  <c r="AD48" i="11"/>
  <c r="AC72" i="9"/>
  <c r="AC71" i="9"/>
  <c r="AC77" i="9"/>
  <c r="AE17" i="29"/>
  <c r="AD52" i="22"/>
  <c r="AD45" i="8"/>
  <c r="AD122" i="10"/>
  <c r="AE46" i="11"/>
  <c r="AE43" i="8"/>
  <c r="AD63" i="8"/>
  <c r="AA194" i="10"/>
  <c r="AA75" i="22"/>
  <c r="AD54" i="22"/>
  <c r="AD182" i="10"/>
  <c r="AE43" i="13"/>
  <c r="Z75" i="22"/>
  <c r="Z194" i="10"/>
  <c r="AJ92" i="10"/>
  <c r="AJ116" i="10"/>
  <c r="AJ93" i="10"/>
  <c r="AK95" i="10"/>
  <c r="AB65" i="22"/>
  <c r="AB69" i="13"/>
  <c r="AE51" i="13"/>
  <c r="AE53" i="13"/>
  <c r="AH15" i="29"/>
  <c r="AH146" i="10"/>
  <c r="AH15" i="4"/>
  <c r="AH15" i="26"/>
  <c r="AH15" i="9"/>
  <c r="AH15" i="13"/>
  <c r="AH110" i="10"/>
  <c r="AH15" i="8"/>
  <c r="AH174" i="10"/>
  <c r="AH196" i="10"/>
  <c r="AH96" i="10"/>
  <c r="AF47" i="26"/>
  <c r="AG13" i="26"/>
  <c r="AF67" i="26"/>
  <c r="AF30" i="26"/>
  <c r="AF43" i="26"/>
  <c r="AF19" i="26"/>
  <c r="AF45" i="26"/>
  <c r="AE17" i="8"/>
  <c r="AC180" i="10"/>
  <c r="AA135" i="10"/>
  <c r="AF30" i="8"/>
  <c r="AF46" i="8"/>
  <c r="AF62" i="8"/>
  <c r="AF19" i="8"/>
  <c r="AF49" i="8"/>
  <c r="AF51" i="8"/>
  <c r="AG13" i="8"/>
  <c r="AD62" i="26"/>
  <c r="AD64" i="26"/>
  <c r="AF47" i="9"/>
  <c r="AF49" i="9"/>
  <c r="AF76" i="9"/>
  <c r="AF36" i="9"/>
  <c r="AF63" i="9"/>
  <c r="AG13" i="9"/>
  <c r="AF45" i="9"/>
  <c r="AE44" i="4"/>
  <c r="AE51" i="22"/>
  <c r="AF28" i="4"/>
  <c r="Z84" i="9"/>
  <c r="Z83" i="9"/>
  <c r="Z82" i="9"/>
  <c r="Z135" i="10"/>
  <c r="S74" i="22"/>
  <c r="AB79" i="9"/>
  <c r="AB80" i="9"/>
  <c r="AE26" i="4"/>
  <c r="AI15" i="13"/>
  <c r="AI15" i="4"/>
  <c r="AF47" i="13"/>
  <c r="AF45" i="13"/>
  <c r="AG13" i="13"/>
  <c r="AF67" i="13"/>
  <c r="AF30" i="13"/>
  <c r="AF19" i="13"/>
  <c r="AC62" i="26"/>
  <c r="AC64" i="26"/>
  <c r="AB131" i="10"/>
  <c r="AB66" i="8"/>
  <c r="AB65" i="8"/>
  <c r="AB67" i="8"/>
  <c r="AB68" i="8"/>
  <c r="AB69" i="8"/>
  <c r="AE17" i="26"/>
  <c r="AE17" i="13"/>
  <c r="AF67" i="29"/>
  <c r="AF43" i="29"/>
  <c r="AF19" i="29"/>
  <c r="AG13" i="29"/>
  <c r="AA73" i="22"/>
  <c r="AA192" i="10"/>
  <c r="AD70" i="9"/>
  <c r="AD55" i="9"/>
  <c r="AD57" i="9"/>
  <c r="Q78" i="11"/>
  <c r="AB64" i="9"/>
  <c r="AB126" i="10"/>
  <c r="AC50" i="11"/>
  <c r="AC59" i="9"/>
  <c r="AI166" i="10"/>
  <c r="AI39" i="22"/>
  <c r="AI58" i="22"/>
  <c r="AA5" i="30"/>
  <c r="AI176" i="10"/>
  <c r="AI198" i="10"/>
  <c r="AI6" i="11"/>
  <c r="AI53" i="11"/>
  <c r="AA12" i="15"/>
  <c r="AI148" i="10"/>
  <c r="Y164" i="10"/>
  <c r="Y144" i="10"/>
  <c r="Y156" i="10"/>
  <c r="Y61" i="11"/>
  <c r="Y70" i="11"/>
  <c r="AF17" i="4"/>
  <c r="AF18" i="4"/>
  <c r="AF16" i="26"/>
  <c r="AF98" i="10"/>
  <c r="AF16" i="13"/>
  <c r="AF17" i="13"/>
  <c r="AF16" i="29"/>
  <c r="AF16" i="9"/>
  <c r="AF17" i="9"/>
  <c r="AF69" i="9"/>
  <c r="AF16" i="8"/>
  <c r="AA140" i="10"/>
  <c r="AA152" i="10"/>
  <c r="AA160" i="10"/>
  <c r="AA57" i="11"/>
  <c r="AA66" i="11"/>
  <c r="AE53" i="26"/>
  <c r="AG97" i="10"/>
  <c r="AG16" i="4"/>
  <c r="AG204" i="10"/>
  <c r="Z142" i="10"/>
  <c r="Z59" i="11"/>
  <c r="Z68" i="11"/>
  <c r="Z162" i="10"/>
  <c r="AE65" i="13"/>
  <c r="AE20" i="13"/>
  <c r="AE22" i="13"/>
  <c r="AE65" i="29"/>
  <c r="AE20" i="29"/>
  <c r="AE22" i="29"/>
  <c r="AE65" i="26"/>
  <c r="AE20" i="26"/>
  <c r="AE22" i="26"/>
  <c r="AE60" i="8"/>
  <c r="AE20" i="8"/>
  <c r="AE22" i="8"/>
  <c r="AE73" i="9"/>
  <c r="AA71" i="13"/>
  <c r="AA133" i="10"/>
  <c r="AA72" i="13"/>
  <c r="AA73" i="13"/>
  <c r="AA74" i="13"/>
  <c r="AA70" i="13"/>
  <c r="Z152" i="10"/>
  <c r="G111" i="10"/>
  <c r="F231" i="10"/>
  <c r="H231" i="10"/>
  <c r="AF49" i="4"/>
  <c r="AF25" i="4"/>
  <c r="AF24" i="4"/>
  <c r="AG13" i="4"/>
  <c r="AF20" i="4"/>
  <c r="AF66" i="4"/>
  <c r="G107" i="13"/>
  <c r="G110" i="13"/>
  <c r="H56" i="34"/>
  <c r="AD52" i="29"/>
  <c r="AD60" i="29"/>
  <c r="I13" i="15"/>
  <c r="Q216" i="10"/>
  <c r="Q202" i="10"/>
  <c r="I7" i="30"/>
  <c r="Q206" i="10"/>
  <c r="Q208" i="10"/>
  <c r="R143" i="10"/>
  <c r="R138" i="10"/>
  <c r="R163" i="10"/>
  <c r="R60" i="11"/>
  <c r="R69" i="11"/>
  <c r="S70" i="29"/>
  <c r="S134" i="10"/>
  <c r="S129" i="10"/>
  <c r="S71" i="29"/>
  <c r="S72" i="29"/>
  <c r="Z189" i="10"/>
  <c r="Z70" i="22"/>
  <c r="Q150" i="10"/>
  <c r="Q168" i="10"/>
  <c r="Q172" i="10"/>
  <c r="Q167" i="10"/>
  <c r="Q170" i="10"/>
  <c r="R153" i="10"/>
  <c r="AA139" i="10"/>
  <c r="AA159" i="10"/>
  <c r="AA56" i="11"/>
  <c r="U181" i="10"/>
  <c r="S161" i="10"/>
  <c r="S141" i="10"/>
  <c r="S58" i="11"/>
  <c r="U55" i="22"/>
  <c r="U50" i="22"/>
  <c r="U68" i="29"/>
  <c r="V54" i="29"/>
  <c r="U57" i="29"/>
  <c r="U125" i="10"/>
  <c r="V49" i="11"/>
  <c r="T191" i="10"/>
  <c r="R69" i="22"/>
  <c r="S61" i="22"/>
  <c r="W55" i="26"/>
  <c r="V58" i="26"/>
  <c r="V123" i="10"/>
  <c r="V53" i="22"/>
  <c r="V68" i="26"/>
  <c r="AC74" i="4"/>
  <c r="AC62" i="22"/>
  <c r="T72" i="26"/>
  <c r="T132" i="10"/>
  <c r="T71" i="26"/>
  <c r="T70" i="26"/>
  <c r="AB77" i="4"/>
  <c r="AB75" i="4"/>
  <c r="AB130" i="10"/>
  <c r="AB76" i="4"/>
  <c r="AF41" i="4"/>
  <c r="AE55" i="4"/>
  <c r="AE57" i="4"/>
  <c r="AE60" i="4"/>
  <c r="V47" i="11"/>
  <c r="S73" i="26"/>
  <c r="S74" i="26"/>
  <c r="T183" i="10"/>
  <c r="T178" i="10"/>
  <c r="G230" i="10"/>
  <c r="G108" i="4"/>
  <c r="AB189" i="10"/>
  <c r="AB70" i="22"/>
  <c r="Q74" i="11"/>
  <c r="T41" i="22"/>
  <c r="Q171" i="10"/>
  <c r="Q155" i="10"/>
  <c r="Z77" i="4"/>
  <c r="Z76" i="4"/>
  <c r="Z75" i="4"/>
  <c r="Z130" i="10"/>
  <c r="G99" i="4"/>
  <c r="R67" i="11"/>
  <c r="Q55" i="11"/>
  <c r="Q64" i="11"/>
  <c r="Q136" i="10"/>
  <c r="Q9" i="11"/>
  <c r="Q158" i="10"/>
  <c r="R73" i="29"/>
  <c r="R74" i="29"/>
  <c r="R200" i="10"/>
  <c r="U64" i="22"/>
  <c r="U72" i="22"/>
  <c r="U69" i="26"/>
  <c r="T69" i="29"/>
  <c r="T66" i="22"/>
  <c r="T193" i="10"/>
  <c r="R129" i="10"/>
  <c r="Q169" i="10"/>
  <c r="T120" i="10"/>
  <c r="S188" i="10"/>
  <c r="AD63" i="4"/>
  <c r="AD64" i="4"/>
  <c r="AD68" i="4"/>
  <c r="AD71" i="4"/>
  <c r="AD72" i="4"/>
  <c r="AD73" i="4"/>
  <c r="AD62" i="22"/>
  <c r="AI146" i="10"/>
  <c r="AI174" i="10"/>
  <c r="AI15" i="26"/>
  <c r="AI15" i="9"/>
  <c r="AI15" i="29"/>
  <c r="AI15" i="8"/>
  <c r="AI96" i="10"/>
  <c r="AI204" i="10"/>
  <c r="AI196" i="10"/>
  <c r="AA83" i="9"/>
  <c r="AA84" i="9"/>
  <c r="AC62" i="29"/>
  <c r="R78" i="11"/>
  <c r="AG49" i="13"/>
  <c r="AC71" i="22"/>
  <c r="R74" i="11"/>
  <c r="AG47" i="26"/>
  <c r="AE46" i="4"/>
  <c r="AE121" i="10"/>
  <c r="AF45" i="11"/>
  <c r="AE61" i="4"/>
  <c r="U120" i="10"/>
  <c r="V44" i="11"/>
  <c r="AF51" i="9"/>
  <c r="AF53" i="9"/>
  <c r="AF17" i="26"/>
  <c r="AG67" i="29"/>
  <c r="AH13" i="29"/>
  <c r="AG19" i="29"/>
  <c r="AG43" i="29"/>
  <c r="AB67" i="22"/>
  <c r="AB81" i="9"/>
  <c r="AG62" i="8"/>
  <c r="AH13" i="8"/>
  <c r="AG49" i="8"/>
  <c r="AG51" i="8"/>
  <c r="AG19" i="8"/>
  <c r="AG30" i="8"/>
  <c r="AG46" i="8"/>
  <c r="AH16" i="4"/>
  <c r="AH204" i="10"/>
  <c r="AH97" i="10"/>
  <c r="AC69" i="13"/>
  <c r="AC65" i="22"/>
  <c r="AE70" i="9"/>
  <c r="AE55" i="9"/>
  <c r="AE57" i="9"/>
  <c r="AE18" i="13"/>
  <c r="AE21" i="13"/>
  <c r="AE60" i="13"/>
  <c r="AC79" i="9"/>
  <c r="AC80" i="9"/>
  <c r="AD62" i="29"/>
  <c r="AD64" i="29"/>
  <c r="AF17" i="8"/>
  <c r="AF65" i="13"/>
  <c r="AF18" i="13"/>
  <c r="AF21" i="13"/>
  <c r="AF60" i="13"/>
  <c r="AF65" i="29"/>
  <c r="AF20" i="29"/>
  <c r="AF22" i="29"/>
  <c r="AF60" i="8"/>
  <c r="AF20" i="8"/>
  <c r="AF22" i="8"/>
  <c r="AF65" i="26"/>
  <c r="AF20" i="26"/>
  <c r="AF22" i="26"/>
  <c r="AF73" i="9"/>
  <c r="AB57" i="11"/>
  <c r="AB66" i="11"/>
  <c r="AB140" i="10"/>
  <c r="AB152" i="10"/>
  <c r="AB160" i="10"/>
  <c r="AF51" i="13"/>
  <c r="AF53" i="13"/>
  <c r="AA144" i="10"/>
  <c r="AA156" i="10"/>
  <c r="AA164" i="10"/>
  <c r="AA61" i="11"/>
  <c r="AA70" i="11"/>
  <c r="AK116" i="10"/>
  <c r="AK93" i="10"/>
  <c r="AL95" i="10"/>
  <c r="AK92" i="10"/>
  <c r="AE52" i="22"/>
  <c r="AF43" i="8"/>
  <c r="AE45" i="8"/>
  <c r="AE122" i="10"/>
  <c r="AF46" i="11"/>
  <c r="AD58" i="13"/>
  <c r="AD124" i="10"/>
  <c r="AE48" i="11"/>
  <c r="AD68" i="13"/>
  <c r="AE55" i="13"/>
  <c r="AC67" i="8"/>
  <c r="AC68" i="8"/>
  <c r="AC69" i="8"/>
  <c r="AC66" i="8"/>
  <c r="AC65" i="8"/>
  <c r="AC131" i="10"/>
  <c r="AE52" i="29"/>
  <c r="AE18" i="29"/>
  <c r="AE21" i="29"/>
  <c r="H92" i="34"/>
  <c r="H97" i="34"/>
  <c r="H121" i="34"/>
  <c r="H123" i="34"/>
  <c r="H125" i="34"/>
  <c r="H127" i="34"/>
  <c r="H131" i="34"/>
  <c r="H133" i="34"/>
  <c r="H135" i="34"/>
  <c r="Z154" i="10"/>
  <c r="G113" i="10"/>
  <c r="F233" i="10"/>
  <c r="H233" i="10"/>
  <c r="Z144" i="10"/>
  <c r="Z61" i="11"/>
  <c r="Z70" i="11"/>
  <c r="J54" i="34"/>
  <c r="Z164" i="10"/>
  <c r="AF44" i="4"/>
  <c r="AG28" i="4"/>
  <c r="AH13" i="26"/>
  <c r="AG67" i="26"/>
  <c r="AG30" i="26"/>
  <c r="AG43" i="26"/>
  <c r="AG19" i="26"/>
  <c r="AG45" i="26"/>
  <c r="AB73" i="22"/>
  <c r="AB192" i="10"/>
  <c r="AF43" i="13"/>
  <c r="AE54" i="22"/>
  <c r="AE182" i="10"/>
  <c r="AD63" i="22"/>
  <c r="AD190" i="10"/>
  <c r="AD64" i="8"/>
  <c r="AF26" i="4"/>
  <c r="AE18" i="26"/>
  <c r="AE21" i="26"/>
  <c r="AE60" i="26"/>
  <c r="AF51" i="26"/>
  <c r="AJ94" i="10"/>
  <c r="H54" i="34"/>
  <c r="H103" i="34"/>
  <c r="H105" i="34"/>
  <c r="H109" i="34"/>
  <c r="G109" i="13"/>
  <c r="H58" i="34"/>
  <c r="H60" i="34"/>
  <c r="AG25" i="4"/>
  <c r="AG49" i="4"/>
  <c r="AG24" i="4"/>
  <c r="AH13" i="4"/>
  <c r="AG20" i="4"/>
  <c r="AG66" i="4"/>
  <c r="AA59" i="11"/>
  <c r="AA68" i="11"/>
  <c r="AA142" i="10"/>
  <c r="AA154" i="10"/>
  <c r="AA162" i="10"/>
  <c r="AG17" i="4"/>
  <c r="AG18" i="4"/>
  <c r="AG16" i="8"/>
  <c r="AG16" i="13"/>
  <c r="AG16" i="26"/>
  <c r="AG16" i="9"/>
  <c r="AG17" i="9"/>
  <c r="AG69" i="9"/>
  <c r="AG98" i="10"/>
  <c r="AG16" i="29"/>
  <c r="AF17" i="29"/>
  <c r="AD59" i="9"/>
  <c r="AC64" i="9"/>
  <c r="AC126" i="10"/>
  <c r="AD50" i="11"/>
  <c r="AD72" i="9"/>
  <c r="AD71" i="9"/>
  <c r="AD77" i="9"/>
  <c r="AG30" i="13"/>
  <c r="AG19" i="13"/>
  <c r="AG45" i="13"/>
  <c r="AH13" i="13"/>
  <c r="AG47" i="13"/>
  <c r="AG67" i="13"/>
  <c r="AG76" i="9"/>
  <c r="AG47" i="9"/>
  <c r="AG49" i="9"/>
  <c r="AH13" i="9"/>
  <c r="AG45" i="9"/>
  <c r="AG36" i="9"/>
  <c r="AG63" i="9"/>
  <c r="AB72" i="13"/>
  <c r="AB73" i="13"/>
  <c r="AB74" i="13"/>
  <c r="AB71" i="13"/>
  <c r="AB133" i="10"/>
  <c r="AB70" i="13"/>
  <c r="AJ39" i="22"/>
  <c r="AJ58" i="22"/>
  <c r="AJ198" i="10"/>
  <c r="AJ166" i="10"/>
  <c r="AJ6" i="11"/>
  <c r="AJ53" i="11"/>
  <c r="AB5" i="30"/>
  <c r="AJ148" i="10"/>
  <c r="AB12" i="15"/>
  <c r="AJ176" i="10"/>
  <c r="AD180" i="10"/>
  <c r="AE18" i="8"/>
  <c r="AE21" i="8"/>
  <c r="AE55" i="8"/>
  <c r="AE57" i="8"/>
  <c r="AE59" i="8"/>
  <c r="AE63" i="8"/>
  <c r="U41" i="22"/>
  <c r="R150" i="10"/>
  <c r="R168" i="10"/>
  <c r="R167" i="10"/>
  <c r="R172" i="10"/>
  <c r="R170" i="10"/>
  <c r="R169" i="10"/>
  <c r="R216" i="10"/>
  <c r="J13" i="15"/>
  <c r="J7" i="30"/>
  <c r="R206" i="10"/>
  <c r="R208" i="10"/>
  <c r="R55" i="11"/>
  <c r="R64" i="11"/>
  <c r="R136" i="10"/>
  <c r="R9" i="11"/>
  <c r="R158" i="10"/>
  <c r="T161" i="10"/>
  <c r="T141" i="10"/>
  <c r="T58" i="11"/>
  <c r="T70" i="29"/>
  <c r="T134" i="10"/>
  <c r="T71" i="29"/>
  <c r="T72" i="29"/>
  <c r="AE62" i="4"/>
  <c r="AE63" i="4"/>
  <c r="AE64" i="4"/>
  <c r="AE68" i="4"/>
  <c r="AE71" i="4"/>
  <c r="AE72" i="4"/>
  <c r="AE73" i="4"/>
  <c r="T73" i="26"/>
  <c r="T74" i="26"/>
  <c r="V181" i="10"/>
  <c r="S153" i="10"/>
  <c r="AA151" i="10"/>
  <c r="I18" i="15"/>
  <c r="I27" i="15"/>
  <c r="I16" i="15"/>
  <c r="R171" i="10"/>
  <c r="R155" i="10"/>
  <c r="Q218" i="10"/>
  <c r="Q222" i="10"/>
  <c r="I9" i="30"/>
  <c r="Q220" i="10"/>
  <c r="Z56" i="11"/>
  <c r="Z159" i="10"/>
  <c r="Z139" i="10"/>
  <c r="AE179" i="10"/>
  <c r="V69" i="26"/>
  <c r="V64" i="22"/>
  <c r="S73" i="29"/>
  <c r="S74" i="29"/>
  <c r="S200" i="10"/>
  <c r="E163" i="32"/>
  <c r="G100" i="4"/>
  <c r="G110" i="4"/>
  <c r="G113" i="4"/>
  <c r="AB159" i="10"/>
  <c r="AB139" i="10"/>
  <c r="AB56" i="11"/>
  <c r="AC130" i="10"/>
  <c r="AC75" i="4"/>
  <c r="AC76" i="4"/>
  <c r="AC77" i="4"/>
  <c r="X55" i="26"/>
  <c r="W68" i="26"/>
  <c r="W58" i="26"/>
  <c r="W123" i="10"/>
  <c r="W53" i="22"/>
  <c r="S43" i="22"/>
  <c r="S69" i="22"/>
  <c r="U69" i="29"/>
  <c r="U66" i="22"/>
  <c r="U193" i="10"/>
  <c r="S55" i="11"/>
  <c r="S64" i="11"/>
  <c r="S158" i="10"/>
  <c r="S9" i="11"/>
  <c r="S136" i="10"/>
  <c r="AA73" i="11"/>
  <c r="AA65" i="11"/>
  <c r="AA77" i="11"/>
  <c r="Q210" i="10"/>
  <c r="R202" i="10"/>
  <c r="T61" i="22"/>
  <c r="U183" i="10"/>
  <c r="U178" i="10"/>
  <c r="S67" i="11"/>
  <c r="U191" i="10"/>
  <c r="U44" i="11"/>
  <c r="T7" i="11"/>
  <c r="U70" i="26"/>
  <c r="U71" i="26"/>
  <c r="U132" i="10"/>
  <c r="U72" i="26"/>
  <c r="AG41" i="4"/>
  <c r="AF55" i="4"/>
  <c r="AF57" i="4"/>
  <c r="AF60" i="4"/>
  <c r="AC189" i="10"/>
  <c r="AC70" i="22"/>
  <c r="W47" i="11"/>
  <c r="V55" i="22"/>
  <c r="V68" i="29"/>
  <c r="W54" i="29"/>
  <c r="V57" i="29"/>
  <c r="V125" i="10"/>
  <c r="W49" i="11"/>
  <c r="S163" i="10"/>
  <c r="S143" i="10"/>
  <c r="S60" i="11"/>
  <c r="S69" i="11"/>
  <c r="T74" i="22"/>
  <c r="T188" i="10"/>
  <c r="AF18" i="29"/>
  <c r="AF21" i="29"/>
  <c r="AI97" i="10"/>
  <c r="AI16" i="26"/>
  <c r="AI16" i="4"/>
  <c r="AD74" i="4"/>
  <c r="AD75" i="4"/>
  <c r="U7" i="11"/>
  <c r="AD71" i="22"/>
  <c r="AG51" i="26"/>
  <c r="AH47" i="26"/>
  <c r="AH49" i="13"/>
  <c r="AD79" i="9"/>
  <c r="AD80" i="9"/>
  <c r="AD67" i="22"/>
  <c r="AF61" i="4"/>
  <c r="AF62" i="4"/>
  <c r="AF63" i="4"/>
  <c r="AF20" i="13"/>
  <c r="AF22" i="13"/>
  <c r="U74" i="22"/>
  <c r="I30" i="15"/>
  <c r="I33" i="15"/>
  <c r="I37" i="15"/>
  <c r="AG26" i="4"/>
  <c r="U61" i="22"/>
  <c r="U43" i="22"/>
  <c r="AG51" i="9"/>
  <c r="AG53" i="9"/>
  <c r="AE64" i="8"/>
  <c r="AE63" i="22"/>
  <c r="AE190" i="10"/>
  <c r="AH63" i="9"/>
  <c r="AH47" i="9"/>
  <c r="AH49" i="9"/>
  <c r="AH76" i="9"/>
  <c r="AH45" i="9"/>
  <c r="AI13" i="9"/>
  <c r="AH36" i="9"/>
  <c r="AG51" i="13"/>
  <c r="AG53" i="13"/>
  <c r="AE59" i="9"/>
  <c r="AD64" i="9"/>
  <c r="AD126" i="10"/>
  <c r="AE50" i="11"/>
  <c r="AG17" i="29"/>
  <c r="AG17" i="13"/>
  <c r="AH66" i="4"/>
  <c r="AI13" i="4"/>
  <c r="AH20" i="4"/>
  <c r="AH24" i="4"/>
  <c r="AH49" i="4"/>
  <c r="AH25" i="4"/>
  <c r="AD65" i="22"/>
  <c r="AD69" i="13"/>
  <c r="AE180" i="10"/>
  <c r="AC73" i="22"/>
  <c r="AC192" i="10"/>
  <c r="AB194" i="10"/>
  <c r="AB75" i="22"/>
  <c r="AF70" i="9"/>
  <c r="AF55" i="9"/>
  <c r="AF57" i="9"/>
  <c r="S78" i="11"/>
  <c r="AF18" i="26"/>
  <c r="AF21" i="26"/>
  <c r="AF60" i="26"/>
  <c r="AG17" i="26"/>
  <c r="AF53" i="26"/>
  <c r="AF52" i="29"/>
  <c r="AF60" i="29"/>
  <c r="AD67" i="8"/>
  <c r="AD131" i="10"/>
  <c r="AD66" i="8"/>
  <c r="AD65" i="8"/>
  <c r="AF51" i="22"/>
  <c r="AF179" i="10"/>
  <c r="AF46" i="4"/>
  <c r="AF121" i="10"/>
  <c r="AG45" i="11"/>
  <c r="F235" i="10"/>
  <c r="H235" i="10"/>
  <c r="Z156" i="10"/>
  <c r="G114" i="10"/>
  <c r="AC160" i="10"/>
  <c r="AC140" i="10"/>
  <c r="AC152" i="10"/>
  <c r="AC57" i="11"/>
  <c r="AC66" i="11"/>
  <c r="AF55" i="13"/>
  <c r="AE58" i="13"/>
  <c r="AE124" i="10"/>
  <c r="AF48" i="11"/>
  <c r="AF45" i="8"/>
  <c r="AF122" i="10"/>
  <c r="AG46" i="11"/>
  <c r="AG43" i="8"/>
  <c r="AF52" i="22"/>
  <c r="AM95" i="10"/>
  <c r="AL116" i="10"/>
  <c r="AL92" i="10"/>
  <c r="AL93" i="10"/>
  <c r="AE72" i="9"/>
  <c r="AE71" i="9"/>
  <c r="AE77" i="9"/>
  <c r="AE79" i="9"/>
  <c r="AB135" i="10"/>
  <c r="AB82" i="9"/>
  <c r="AB84" i="9"/>
  <c r="AB83" i="9"/>
  <c r="AF18" i="8"/>
  <c r="AF21" i="8"/>
  <c r="AF55" i="8"/>
  <c r="AF57" i="8"/>
  <c r="AF59" i="8"/>
  <c r="AF63" i="8"/>
  <c r="AB59" i="11"/>
  <c r="AB68" i="11"/>
  <c r="AB162" i="10"/>
  <c r="AB142" i="10"/>
  <c r="AB154" i="10"/>
  <c r="AJ196" i="10"/>
  <c r="AJ15" i="13"/>
  <c r="AJ146" i="10"/>
  <c r="AJ174" i="10"/>
  <c r="AJ15" i="4"/>
  <c r="AJ15" i="26"/>
  <c r="AJ15" i="8"/>
  <c r="AJ15" i="9"/>
  <c r="AJ15" i="29"/>
  <c r="AJ110" i="10"/>
  <c r="AJ96" i="10"/>
  <c r="AG43" i="13"/>
  <c r="AF54" i="22"/>
  <c r="AF182" i="10"/>
  <c r="AH28" i="4"/>
  <c r="AG44" i="4"/>
  <c r="AG51" i="22"/>
  <c r="AH16" i="13"/>
  <c r="AH17" i="13"/>
  <c r="AH16" i="26"/>
  <c r="AH16" i="8"/>
  <c r="AH16" i="29"/>
  <c r="AH17" i="4"/>
  <c r="AH18" i="4"/>
  <c r="AH16" i="9"/>
  <c r="AH17" i="9"/>
  <c r="AH69" i="9"/>
  <c r="AH98" i="10"/>
  <c r="AH43" i="29"/>
  <c r="AI13" i="29"/>
  <c r="AH19" i="29"/>
  <c r="AH67" i="29"/>
  <c r="AK94" i="10"/>
  <c r="AH30" i="13"/>
  <c r="AH45" i="13"/>
  <c r="AI13" i="13"/>
  <c r="AH47" i="13"/>
  <c r="AH19" i="13"/>
  <c r="AH67" i="13"/>
  <c r="AC67" i="22"/>
  <c r="AC81" i="9"/>
  <c r="AG65" i="13"/>
  <c r="AG18" i="13"/>
  <c r="AG21" i="13"/>
  <c r="AG60" i="13"/>
  <c r="AG65" i="29"/>
  <c r="AG20" i="29"/>
  <c r="AG22" i="29"/>
  <c r="AG65" i="26"/>
  <c r="AG20" i="26"/>
  <c r="AG22" i="26"/>
  <c r="AG60" i="8"/>
  <c r="AG20" i="8"/>
  <c r="AG22" i="8"/>
  <c r="AG73" i="9"/>
  <c r="AG17" i="8"/>
  <c r="AE62" i="26"/>
  <c r="AE64" i="26"/>
  <c r="AG53" i="26"/>
  <c r="AH67" i="26"/>
  <c r="AI13" i="26"/>
  <c r="AI47" i="26"/>
  <c r="AH19" i="26"/>
  <c r="AH30" i="26"/>
  <c r="AH43" i="26"/>
  <c r="AH45" i="26"/>
  <c r="AH51" i="26"/>
  <c r="J103" i="34"/>
  <c r="J105" i="34"/>
  <c r="J109" i="34"/>
  <c r="J58" i="34"/>
  <c r="J60" i="34"/>
  <c r="AK6" i="11"/>
  <c r="AK53" i="11"/>
  <c r="AK198" i="10"/>
  <c r="AK39" i="22"/>
  <c r="AK58" i="22"/>
  <c r="AC5" i="30"/>
  <c r="AK148" i="10"/>
  <c r="AK176" i="10"/>
  <c r="AC12" i="15"/>
  <c r="AK166" i="10"/>
  <c r="AF62" i="13"/>
  <c r="AF64" i="13"/>
  <c r="AE62" i="13"/>
  <c r="AE64" i="13"/>
  <c r="AE68" i="13"/>
  <c r="AC71" i="13"/>
  <c r="AC70" i="13"/>
  <c r="AC133" i="10"/>
  <c r="AC72" i="13"/>
  <c r="AH46" i="8"/>
  <c r="AH62" i="8"/>
  <c r="AH49" i="8"/>
  <c r="AH51" i="8"/>
  <c r="AH19" i="8"/>
  <c r="AI13" i="8"/>
  <c r="AH30" i="8"/>
  <c r="AI17" i="4"/>
  <c r="AI18" i="4"/>
  <c r="AE60" i="29"/>
  <c r="AG55" i="4"/>
  <c r="AG57" i="4"/>
  <c r="AG60" i="4"/>
  <c r="AH41" i="4"/>
  <c r="AD77" i="4"/>
  <c r="U58" i="11"/>
  <c r="U161" i="10"/>
  <c r="U141" i="10"/>
  <c r="E56" i="34"/>
  <c r="E161" i="32"/>
  <c r="V183" i="10"/>
  <c r="V178" i="10"/>
  <c r="AD189" i="10"/>
  <c r="AD70" i="22"/>
  <c r="U73" i="26"/>
  <c r="U74" i="26"/>
  <c r="X47" i="11"/>
  <c r="AC159" i="10"/>
  <c r="AC56" i="11"/>
  <c r="AC139" i="10"/>
  <c r="E54" i="34"/>
  <c r="G112" i="4"/>
  <c r="V71" i="26"/>
  <c r="V70" i="26"/>
  <c r="V72" i="26"/>
  <c r="V132" i="10"/>
  <c r="V120" i="10"/>
  <c r="U188" i="10"/>
  <c r="S74" i="11"/>
  <c r="V50" i="22"/>
  <c r="K13" i="15"/>
  <c r="K7" i="30"/>
  <c r="S216" i="10"/>
  <c r="S206" i="10"/>
  <c r="S208" i="10"/>
  <c r="S202" i="10"/>
  <c r="R210" i="10"/>
  <c r="W181" i="10"/>
  <c r="AB151" i="10"/>
  <c r="V191" i="10"/>
  <c r="F230" i="10"/>
  <c r="Z151" i="10"/>
  <c r="G110" i="10"/>
  <c r="AE62" i="22"/>
  <c r="AE74" i="4"/>
  <c r="T73" i="29"/>
  <c r="T74" i="29"/>
  <c r="T200" i="10"/>
  <c r="T153" i="10"/>
  <c r="W68" i="29"/>
  <c r="X54" i="29"/>
  <c r="W55" i="22"/>
  <c r="W50" i="22"/>
  <c r="W57" i="29"/>
  <c r="W125" i="10"/>
  <c r="X49" i="11"/>
  <c r="T43" i="22"/>
  <c r="T69" i="22"/>
  <c r="U70" i="29"/>
  <c r="U72" i="29"/>
  <c r="U71" i="29"/>
  <c r="U134" i="10"/>
  <c r="U129" i="10"/>
  <c r="X68" i="26"/>
  <c r="X58" i="26"/>
  <c r="X123" i="10"/>
  <c r="Y55" i="26"/>
  <c r="X53" i="22"/>
  <c r="AB73" i="11"/>
  <c r="AB65" i="11"/>
  <c r="AB77" i="11"/>
  <c r="I20" i="15"/>
  <c r="I41" i="15"/>
  <c r="I40" i="15"/>
  <c r="T67" i="11"/>
  <c r="R218" i="10"/>
  <c r="R222" i="10"/>
  <c r="J9" i="30"/>
  <c r="R220" i="10"/>
  <c r="V69" i="29"/>
  <c r="V66" i="22"/>
  <c r="V193" i="10"/>
  <c r="S155" i="10"/>
  <c r="W64" i="22"/>
  <c r="W72" i="22"/>
  <c r="W69" i="26"/>
  <c r="Z73" i="11"/>
  <c r="Z65" i="11"/>
  <c r="Z77" i="11"/>
  <c r="S27" i="15"/>
  <c r="K27" i="15"/>
  <c r="M27" i="15"/>
  <c r="P27" i="15"/>
  <c r="J27" i="15"/>
  <c r="I44" i="15"/>
  <c r="I28" i="15"/>
  <c r="I45" i="15"/>
  <c r="R27" i="15"/>
  <c r="Q27" i="15"/>
  <c r="N27" i="15"/>
  <c r="L27" i="15"/>
  <c r="O27" i="15"/>
  <c r="T60" i="11"/>
  <c r="T69" i="11"/>
  <c r="T163" i="10"/>
  <c r="T143" i="10"/>
  <c r="J18" i="15"/>
  <c r="J16" i="15"/>
  <c r="S138" i="10"/>
  <c r="S171" i="10"/>
  <c r="V72" i="22"/>
  <c r="T129" i="10"/>
  <c r="AI16" i="8"/>
  <c r="AI16" i="13"/>
  <c r="AI17" i="13"/>
  <c r="AI98" i="10"/>
  <c r="AI60" i="8"/>
  <c r="AI16" i="29"/>
  <c r="AI16" i="9"/>
  <c r="AI17" i="9"/>
  <c r="AI69" i="9"/>
  <c r="U69" i="22"/>
  <c r="AD130" i="10"/>
  <c r="AD56" i="11"/>
  <c r="AD76" i="4"/>
  <c r="AF64" i="4"/>
  <c r="AF68" i="4"/>
  <c r="AF71" i="4"/>
  <c r="AF72" i="4"/>
  <c r="AF73" i="4"/>
  <c r="AF74" i="4"/>
  <c r="AG61" i="4"/>
  <c r="AG62" i="4"/>
  <c r="AG63" i="4"/>
  <c r="AG46" i="4"/>
  <c r="AG121" i="10"/>
  <c r="AH45" i="11"/>
  <c r="AE71" i="22"/>
  <c r="I36" i="15"/>
  <c r="I47" i="15"/>
  <c r="AD81" i="9"/>
  <c r="AD82" i="9"/>
  <c r="J30" i="15"/>
  <c r="J36" i="15"/>
  <c r="AH26" i="4"/>
  <c r="AF63" i="22"/>
  <c r="AF190" i="10"/>
  <c r="AF64" i="8"/>
  <c r="AH51" i="9"/>
  <c r="AH53" i="9"/>
  <c r="AE69" i="13"/>
  <c r="AE65" i="22"/>
  <c r="AG62" i="13"/>
  <c r="AG64" i="13"/>
  <c r="AF64" i="26"/>
  <c r="AF62" i="26"/>
  <c r="AI17" i="29"/>
  <c r="B7" i="8"/>
  <c r="AI30" i="8"/>
  <c r="AI46" i="8"/>
  <c r="AI49" i="8"/>
  <c r="AI51" i="8"/>
  <c r="AI62" i="8"/>
  <c r="AI19" i="8"/>
  <c r="AJ13" i="8"/>
  <c r="AC75" i="22"/>
  <c r="AC194" i="10"/>
  <c r="AH17" i="29"/>
  <c r="AJ204" i="10"/>
  <c r="AJ16" i="4"/>
  <c r="AJ97" i="10"/>
  <c r="AL166" i="10"/>
  <c r="AD5" i="30"/>
  <c r="AL198" i="10"/>
  <c r="AD12" i="15"/>
  <c r="AL6" i="11"/>
  <c r="AL53" i="11"/>
  <c r="AL176" i="10"/>
  <c r="AL39" i="22"/>
  <c r="AL58" i="22"/>
  <c r="AL148" i="10"/>
  <c r="AJ13" i="4"/>
  <c r="AI66" i="4"/>
  <c r="AI20" i="4"/>
  <c r="AI25" i="4"/>
  <c r="B7" i="4"/>
  <c r="AI49" i="4"/>
  <c r="AI24" i="4"/>
  <c r="AG55" i="9"/>
  <c r="AG57" i="9"/>
  <c r="AG70" i="9"/>
  <c r="AG18" i="8"/>
  <c r="AG21" i="8"/>
  <c r="AG55" i="8"/>
  <c r="AG57" i="8"/>
  <c r="AG59" i="8"/>
  <c r="AG63" i="8"/>
  <c r="AG18" i="29"/>
  <c r="AG21" i="29"/>
  <c r="AE64" i="29"/>
  <c r="AE62" i="29"/>
  <c r="AI17" i="26"/>
  <c r="AH53" i="26"/>
  <c r="AC83" i="9"/>
  <c r="AC135" i="10"/>
  <c r="AC82" i="9"/>
  <c r="AC84" i="9"/>
  <c r="AI67" i="29"/>
  <c r="AI19" i="29"/>
  <c r="AI43" i="29"/>
  <c r="AJ13" i="29"/>
  <c r="B7" i="29"/>
  <c r="AH43" i="13"/>
  <c r="AG54" i="22"/>
  <c r="AG182" i="10"/>
  <c r="AB144" i="10"/>
  <c r="AB156" i="10"/>
  <c r="AB164" i="10"/>
  <c r="AB61" i="11"/>
  <c r="AB70" i="11"/>
  <c r="AH43" i="8"/>
  <c r="AG45" i="8"/>
  <c r="AG122" i="10"/>
  <c r="AH46" i="11"/>
  <c r="AG52" i="22"/>
  <c r="AG55" i="13"/>
  <c r="AF68" i="13"/>
  <c r="AF58" i="13"/>
  <c r="AF124" i="10"/>
  <c r="AG48" i="11"/>
  <c r="AD68" i="8"/>
  <c r="AD69" i="8"/>
  <c r="AF72" i="9"/>
  <c r="AF71" i="9"/>
  <c r="AF77" i="9"/>
  <c r="AD73" i="22"/>
  <c r="AD192" i="10"/>
  <c r="AF59" i="9"/>
  <c r="AE64" i="9"/>
  <c r="AE126" i="10"/>
  <c r="AF50" i="11"/>
  <c r="AE80" i="9"/>
  <c r="AJ13" i="9"/>
  <c r="AI36" i="9"/>
  <c r="AI63" i="9"/>
  <c r="AI76" i="9"/>
  <c r="AI45" i="9"/>
  <c r="AI47" i="9"/>
  <c r="AI49" i="9"/>
  <c r="B7" i="9"/>
  <c r="AG20" i="13"/>
  <c r="AG22" i="13"/>
  <c r="AL94" i="10"/>
  <c r="AG18" i="26"/>
  <c r="AG21" i="26"/>
  <c r="AG60" i="26"/>
  <c r="AI73" i="9"/>
  <c r="AC142" i="10"/>
  <c r="AC154" i="10"/>
  <c r="AC162" i="10"/>
  <c r="AC59" i="11"/>
  <c r="AC68" i="11"/>
  <c r="AI30" i="26"/>
  <c r="AI43" i="26"/>
  <c r="AJ13" i="26"/>
  <c r="AJ47" i="26"/>
  <c r="B7" i="26"/>
  <c r="AI67" i="26"/>
  <c r="AI19" i="26"/>
  <c r="AI45" i="26"/>
  <c r="AI51" i="26"/>
  <c r="AI47" i="13"/>
  <c r="AJ13" i="13"/>
  <c r="AI45" i="13"/>
  <c r="AI67" i="13"/>
  <c r="AI30" i="13"/>
  <c r="AI19" i="13"/>
  <c r="B7" i="13"/>
  <c r="AK174" i="10"/>
  <c r="AK15" i="29"/>
  <c r="AK196" i="10"/>
  <c r="AK146" i="10"/>
  <c r="AK15" i="13"/>
  <c r="AK110" i="10"/>
  <c r="AK15" i="26"/>
  <c r="AK15" i="8"/>
  <c r="AK15" i="9"/>
  <c r="AK15" i="4"/>
  <c r="AK96" i="10"/>
  <c r="AH17" i="26"/>
  <c r="AF180" i="10"/>
  <c r="AD160" i="10"/>
  <c r="AD140" i="10"/>
  <c r="AD152" i="10"/>
  <c r="AD57" i="11"/>
  <c r="AD66" i="11"/>
  <c r="AD70" i="13"/>
  <c r="AD71" i="13"/>
  <c r="AD72" i="13"/>
  <c r="AD73" i="13"/>
  <c r="AD74" i="13"/>
  <c r="AD133" i="10"/>
  <c r="AI49" i="13"/>
  <c r="AI17" i="8"/>
  <c r="AC73" i="13"/>
  <c r="AC74" i="13"/>
  <c r="AD75" i="22"/>
  <c r="AD194" i="10"/>
  <c r="AH51" i="13"/>
  <c r="AH53" i="13"/>
  <c r="AF62" i="29"/>
  <c r="AF64" i="29"/>
  <c r="AH73" i="9"/>
  <c r="AH65" i="13"/>
  <c r="AH18" i="13"/>
  <c r="AH21" i="13"/>
  <c r="AH60" i="13"/>
  <c r="AH65" i="29"/>
  <c r="AH20" i="29"/>
  <c r="AH22" i="29"/>
  <c r="AH65" i="26"/>
  <c r="AH20" i="26"/>
  <c r="AH22" i="26"/>
  <c r="AH60" i="8"/>
  <c r="AH20" i="8"/>
  <c r="AH22" i="8"/>
  <c r="AH17" i="8"/>
  <c r="AI28" i="4"/>
  <c r="AH44" i="4"/>
  <c r="AM92" i="10"/>
  <c r="AM93" i="10"/>
  <c r="AM94" i="10"/>
  <c r="AM116" i="10"/>
  <c r="AE131" i="10"/>
  <c r="AE66" i="8"/>
  <c r="AE65" i="8"/>
  <c r="AE67" i="8"/>
  <c r="AE68" i="8"/>
  <c r="AE69" i="8"/>
  <c r="AG52" i="29"/>
  <c r="U55" i="11"/>
  <c r="U64" i="11"/>
  <c r="U136" i="10"/>
  <c r="U158" i="10"/>
  <c r="U9" i="11"/>
  <c r="L13" i="15"/>
  <c r="L44" i="15"/>
  <c r="L7" i="30"/>
  <c r="T216" i="10"/>
  <c r="T206" i="10"/>
  <c r="T208" i="10"/>
  <c r="W41" i="22"/>
  <c r="J40" i="15"/>
  <c r="J20" i="15"/>
  <c r="J41" i="15"/>
  <c r="T155" i="10"/>
  <c r="J28" i="15"/>
  <c r="J45" i="15"/>
  <c r="J44" i="15"/>
  <c r="W71" i="26"/>
  <c r="W132" i="10"/>
  <c r="W70" i="26"/>
  <c r="W72" i="26"/>
  <c r="Z55" i="26"/>
  <c r="Y58" i="26"/>
  <c r="Y123" i="10"/>
  <c r="Y68" i="26"/>
  <c r="Y53" i="22"/>
  <c r="Y54" i="29"/>
  <c r="X68" i="29"/>
  <c r="X55" i="22"/>
  <c r="X50" i="22"/>
  <c r="X57" i="29"/>
  <c r="X125" i="10"/>
  <c r="Y49" i="11"/>
  <c r="AE77" i="4"/>
  <c r="AE75" i="4"/>
  <c r="AE130" i="10"/>
  <c r="AE76" i="4"/>
  <c r="T202" i="10"/>
  <c r="S210" i="10"/>
  <c r="K18" i="15"/>
  <c r="K30" i="15"/>
  <c r="K16" i="15"/>
  <c r="V41" i="22"/>
  <c r="AC151" i="10"/>
  <c r="AH55" i="4"/>
  <c r="AH57" i="4"/>
  <c r="AH60" i="4"/>
  <c r="AH61" i="4"/>
  <c r="AI41" i="4"/>
  <c r="T74" i="11"/>
  <c r="T138" i="10"/>
  <c r="V188" i="10"/>
  <c r="V74" i="22"/>
  <c r="T55" i="11"/>
  <c r="T64" i="11"/>
  <c r="T158" i="10"/>
  <c r="T9" i="11"/>
  <c r="T136" i="10"/>
  <c r="S150" i="10"/>
  <c r="S172" i="10"/>
  <c r="S167" i="10"/>
  <c r="S168" i="10"/>
  <c r="S170" i="10"/>
  <c r="S169" i="10"/>
  <c r="K44" i="15"/>
  <c r="X181" i="10"/>
  <c r="U60" i="11"/>
  <c r="U69" i="11"/>
  <c r="U143" i="10"/>
  <c r="U138" i="10"/>
  <c r="U169" i="10"/>
  <c r="U163" i="10"/>
  <c r="W183" i="10"/>
  <c r="W178" i="10"/>
  <c r="E92" i="34"/>
  <c r="U67" i="11"/>
  <c r="AD159" i="10"/>
  <c r="T78" i="11"/>
  <c r="I48" i="15"/>
  <c r="V61" i="22"/>
  <c r="V43" i="22"/>
  <c r="W120" i="10"/>
  <c r="X64" i="22"/>
  <c r="X72" i="22"/>
  <c r="X69" i="26"/>
  <c r="H230" i="10"/>
  <c r="S220" i="10"/>
  <c r="S218" i="10"/>
  <c r="S222" i="10"/>
  <c r="K9" i="30"/>
  <c r="AG179" i="10"/>
  <c r="V7" i="11"/>
  <c r="W44" i="11"/>
  <c r="V73" i="26"/>
  <c r="V74" i="26"/>
  <c r="E103" i="34"/>
  <c r="W191" i="10"/>
  <c r="V72" i="29"/>
  <c r="V134" i="10"/>
  <c r="V129" i="10"/>
  <c r="V70" i="29"/>
  <c r="V71" i="29"/>
  <c r="Y47" i="11"/>
  <c r="U73" i="29"/>
  <c r="U74" i="29"/>
  <c r="U200" i="10"/>
  <c r="W69" i="29"/>
  <c r="W66" i="22"/>
  <c r="W193" i="10"/>
  <c r="AE189" i="10"/>
  <c r="AE70" i="22"/>
  <c r="V161" i="10"/>
  <c r="V58" i="11"/>
  <c r="V141" i="10"/>
  <c r="E58" i="34"/>
  <c r="E162" i="32"/>
  <c r="AC73" i="11"/>
  <c r="AC65" i="11"/>
  <c r="AC77" i="11"/>
  <c r="U153" i="10"/>
  <c r="AI20" i="8"/>
  <c r="AI22" i="8"/>
  <c r="AG64" i="4"/>
  <c r="AG68" i="4"/>
  <c r="AG71" i="4"/>
  <c r="AG72" i="4"/>
  <c r="AG73" i="4"/>
  <c r="AG62" i="22"/>
  <c r="AI65" i="26"/>
  <c r="AI20" i="26"/>
  <c r="AI22" i="26"/>
  <c r="AI65" i="13"/>
  <c r="AI18" i="13"/>
  <c r="AI21" i="13"/>
  <c r="AI60" i="13"/>
  <c r="AI65" i="29"/>
  <c r="AI20" i="29"/>
  <c r="AI22" i="29"/>
  <c r="AD139" i="10"/>
  <c r="AD151" i="10"/>
  <c r="J33" i="15"/>
  <c r="J37" i="15"/>
  <c r="J48" i="15"/>
  <c r="AF62" i="22"/>
  <c r="AF70" i="22"/>
  <c r="AF71" i="22"/>
  <c r="K28" i="15"/>
  <c r="K45" i="15"/>
  <c r="AI18" i="8"/>
  <c r="AI21" i="8"/>
  <c r="AI55" i="8"/>
  <c r="AI57" i="8"/>
  <c r="AI59" i="8"/>
  <c r="X120" i="10"/>
  <c r="Y44" i="11"/>
  <c r="AD83" i="9"/>
  <c r="AH52" i="29"/>
  <c r="AJ49" i="13"/>
  <c r="AD135" i="10"/>
  <c r="AD164" i="10"/>
  <c r="AD84" i="9"/>
  <c r="AG60" i="29"/>
  <c r="AG64" i="29"/>
  <c r="U74" i="11"/>
  <c r="U78" i="11"/>
  <c r="AI26" i="4"/>
  <c r="AH62" i="13"/>
  <c r="AH64" i="13"/>
  <c r="AI51" i="9"/>
  <c r="AI53" i="9"/>
  <c r="AL15" i="26"/>
  <c r="AL15" i="29"/>
  <c r="AL15" i="8"/>
  <c r="AL15" i="4"/>
  <c r="AL15" i="9"/>
  <c r="AL110" i="10"/>
  <c r="AL174" i="10"/>
  <c r="AL146" i="10"/>
  <c r="AL15" i="13"/>
  <c r="AL196" i="10"/>
  <c r="AL96" i="10"/>
  <c r="AJ47" i="9"/>
  <c r="AJ49" i="9"/>
  <c r="AJ36" i="9"/>
  <c r="AJ45" i="9"/>
  <c r="AJ63" i="9"/>
  <c r="AK13" i="9"/>
  <c r="AJ76" i="9"/>
  <c r="AG58" i="13"/>
  <c r="AG124" i="10"/>
  <c r="AH48" i="11"/>
  <c r="AG68" i="13"/>
  <c r="AH55" i="13"/>
  <c r="AH45" i="8"/>
  <c r="AH122" i="10"/>
  <c r="AI46" i="11"/>
  <c r="AI43" i="8"/>
  <c r="AH52" i="22"/>
  <c r="AH18" i="8"/>
  <c r="AH21" i="8"/>
  <c r="AH55" i="8"/>
  <c r="AH57" i="8"/>
  <c r="AH59" i="8"/>
  <c r="AH63" i="8"/>
  <c r="AM166" i="10"/>
  <c r="AM176" i="10"/>
  <c r="AE12" i="15"/>
  <c r="AM148" i="10"/>
  <c r="AE5" i="30"/>
  <c r="AM198" i="10"/>
  <c r="AM39" i="22"/>
  <c r="AM58" i="22"/>
  <c r="AM6" i="11"/>
  <c r="AM53" i="11"/>
  <c r="AJ28" i="4"/>
  <c r="AI44" i="4"/>
  <c r="AI51" i="22"/>
  <c r="AI179" i="10"/>
  <c r="AI53" i="26"/>
  <c r="AJ30" i="26"/>
  <c r="AJ43" i="26"/>
  <c r="AK13" i="26"/>
  <c r="AJ67" i="26"/>
  <c r="AJ19" i="26"/>
  <c r="AJ45" i="26"/>
  <c r="AJ51" i="26"/>
  <c r="AG62" i="26"/>
  <c r="AG64" i="26"/>
  <c r="AG59" i="9"/>
  <c r="AF64" i="9"/>
  <c r="AF126" i="10"/>
  <c r="AG50" i="11"/>
  <c r="AF65" i="22"/>
  <c r="AF69" i="13"/>
  <c r="AJ67" i="29"/>
  <c r="AK13" i="29"/>
  <c r="AJ43" i="29"/>
  <c r="AJ19" i="29"/>
  <c r="AE71" i="13"/>
  <c r="AE133" i="10"/>
  <c r="AE70" i="13"/>
  <c r="AE72" i="13"/>
  <c r="AE73" i="13"/>
  <c r="AE74" i="13"/>
  <c r="AF66" i="8"/>
  <c r="AF65" i="8"/>
  <c r="AF131" i="10"/>
  <c r="AF67" i="8"/>
  <c r="AF68" i="8"/>
  <c r="AF69" i="8"/>
  <c r="AH18" i="26"/>
  <c r="AH21" i="26"/>
  <c r="AH60" i="26"/>
  <c r="AH20" i="13"/>
  <c r="AH22" i="13"/>
  <c r="AE160" i="10"/>
  <c r="AE57" i="11"/>
  <c r="AE66" i="11"/>
  <c r="AE140" i="10"/>
  <c r="AE152" i="10"/>
  <c r="AH51" i="22"/>
  <c r="AH179" i="10"/>
  <c r="AH46" i="4"/>
  <c r="AH121" i="10"/>
  <c r="AI45" i="11"/>
  <c r="AD142" i="10"/>
  <c r="AD154" i="10"/>
  <c r="AD162" i="10"/>
  <c r="AD59" i="11"/>
  <c r="AD68" i="11"/>
  <c r="AI51" i="13"/>
  <c r="AI53" i="13"/>
  <c r="AG180" i="10"/>
  <c r="AJ17" i="4"/>
  <c r="AJ18" i="4"/>
  <c r="AJ98" i="10"/>
  <c r="AJ16" i="9"/>
  <c r="AJ17" i="9"/>
  <c r="AJ69" i="9"/>
  <c r="AJ16" i="8"/>
  <c r="AJ16" i="29"/>
  <c r="AJ16" i="13"/>
  <c r="AJ16" i="26"/>
  <c r="AE192" i="10"/>
  <c r="AE73" i="22"/>
  <c r="AF79" i="9"/>
  <c r="AF80" i="9"/>
  <c r="AM15" i="8"/>
  <c r="AM174" i="10"/>
  <c r="AM15" i="13"/>
  <c r="AM110" i="10"/>
  <c r="AM15" i="29"/>
  <c r="AM146" i="10"/>
  <c r="AM196" i="10"/>
  <c r="AM15" i="26"/>
  <c r="AM15" i="4"/>
  <c r="AM15" i="9"/>
  <c r="AM96" i="10"/>
  <c r="AK204" i="10"/>
  <c r="AK16" i="4"/>
  <c r="AK97" i="10"/>
  <c r="AJ30" i="13"/>
  <c r="AK13" i="13"/>
  <c r="AJ45" i="13"/>
  <c r="AJ67" i="13"/>
  <c r="AJ47" i="13"/>
  <c r="AJ19" i="13"/>
  <c r="AE81" i="9"/>
  <c r="AE67" i="22"/>
  <c r="AG63" i="22"/>
  <c r="AG190" i="10"/>
  <c r="AG64" i="8"/>
  <c r="AI43" i="13"/>
  <c r="AH54" i="22"/>
  <c r="AH182" i="10"/>
  <c r="AC144" i="10"/>
  <c r="AC156" i="10"/>
  <c r="AC164" i="10"/>
  <c r="AC61" i="11"/>
  <c r="AC70" i="11"/>
  <c r="AG72" i="9"/>
  <c r="AG71" i="9"/>
  <c r="AG77" i="9"/>
  <c r="AK13" i="4"/>
  <c r="AJ66" i="4"/>
  <c r="AJ25" i="4"/>
  <c r="AJ24" i="4"/>
  <c r="AJ49" i="4"/>
  <c r="AJ20" i="4"/>
  <c r="AJ30" i="8"/>
  <c r="AJ19" i="8"/>
  <c r="AK13" i="8"/>
  <c r="AJ49" i="8"/>
  <c r="AJ51" i="8"/>
  <c r="AJ46" i="8"/>
  <c r="AJ62" i="8"/>
  <c r="AH55" i="9"/>
  <c r="AH57" i="9"/>
  <c r="AH70" i="9"/>
  <c r="AH18" i="29"/>
  <c r="AH21" i="29"/>
  <c r="AI18" i="29"/>
  <c r="AI21" i="29"/>
  <c r="M13" i="15"/>
  <c r="U216" i="10"/>
  <c r="M7" i="30"/>
  <c r="U206" i="10"/>
  <c r="U208" i="10"/>
  <c r="AG74" i="4"/>
  <c r="E60" i="34"/>
  <c r="W7" i="11"/>
  <c r="X44" i="11"/>
  <c r="E97" i="34"/>
  <c r="T150" i="10"/>
  <c r="T172" i="10"/>
  <c r="T168" i="10"/>
  <c r="T170" i="10"/>
  <c r="T167" i="10"/>
  <c r="T169" i="10"/>
  <c r="AF75" i="4"/>
  <c r="AF77" i="4"/>
  <c r="AF130" i="10"/>
  <c r="AF76" i="4"/>
  <c r="K36" i="15"/>
  <c r="X183" i="10"/>
  <c r="X178" i="10"/>
  <c r="Y64" i="22"/>
  <c r="Y72" i="22"/>
  <c r="Y69" i="26"/>
  <c r="W73" i="26"/>
  <c r="W74" i="26"/>
  <c r="T218" i="10"/>
  <c r="T222" i="10"/>
  <c r="L9" i="30"/>
  <c r="T220" i="10"/>
  <c r="W61" i="22"/>
  <c r="V67" i="11"/>
  <c r="V73" i="29"/>
  <c r="V74" i="29"/>
  <c r="V200" i="10"/>
  <c r="X41" i="22"/>
  <c r="S104" i="10"/>
  <c r="Q104" i="10"/>
  <c r="S103" i="10"/>
  <c r="Q103" i="10"/>
  <c r="AH64" i="4"/>
  <c r="AH68" i="4"/>
  <c r="AH71" i="4"/>
  <c r="AH72" i="4"/>
  <c r="AH73" i="4"/>
  <c r="AH62" i="4"/>
  <c r="AH63" i="4"/>
  <c r="K20" i="15"/>
  <c r="K41" i="15"/>
  <c r="K40" i="15"/>
  <c r="Y181" i="10"/>
  <c r="T171" i="10"/>
  <c r="W71" i="29"/>
  <c r="W70" i="29"/>
  <c r="W72" i="29"/>
  <c r="W134" i="10"/>
  <c r="U150" i="10"/>
  <c r="U172" i="10"/>
  <c r="U168" i="10"/>
  <c r="U170" i="10"/>
  <c r="U167" i="10"/>
  <c r="V153" i="10"/>
  <c r="V60" i="11"/>
  <c r="V69" i="11"/>
  <c r="V163" i="10"/>
  <c r="V143" i="10"/>
  <c r="V138" i="10"/>
  <c r="V169" i="10"/>
  <c r="X191" i="10"/>
  <c r="AD73" i="11"/>
  <c r="AD65" i="11"/>
  <c r="AD77" i="11"/>
  <c r="AI55" i="4"/>
  <c r="AI57" i="4"/>
  <c r="AI60" i="4"/>
  <c r="AI61" i="4"/>
  <c r="AJ41" i="4"/>
  <c r="T210" i="10"/>
  <c r="U202" i="10"/>
  <c r="AE159" i="10"/>
  <c r="AE56" i="11"/>
  <c r="AE139" i="10"/>
  <c r="Z54" i="29"/>
  <c r="Y55" i="22"/>
  <c r="Y50" i="22"/>
  <c r="Y68" i="29"/>
  <c r="Y57" i="29"/>
  <c r="Y125" i="10"/>
  <c r="Z49" i="11"/>
  <c r="Z58" i="26"/>
  <c r="Z53" i="22"/>
  <c r="AA55" i="26"/>
  <c r="Z68" i="26"/>
  <c r="G86" i="26"/>
  <c r="G115" i="34"/>
  <c r="G119" i="34"/>
  <c r="W58" i="11"/>
  <c r="W161" i="10"/>
  <c r="W141" i="10"/>
  <c r="L16" i="15"/>
  <c r="L18" i="15"/>
  <c r="L30" i="15"/>
  <c r="W74" i="22"/>
  <c r="V69" i="22"/>
  <c r="V158" i="10"/>
  <c r="G103" i="10"/>
  <c r="V9" i="11"/>
  <c r="V136" i="10"/>
  <c r="V55" i="11"/>
  <c r="V64" i="11"/>
  <c r="I103" i="10"/>
  <c r="E105" i="34"/>
  <c r="X70" i="26"/>
  <c r="X71" i="26"/>
  <c r="X132" i="10"/>
  <c r="X72" i="26"/>
  <c r="U171" i="10"/>
  <c r="U155" i="10"/>
  <c r="X69" i="29"/>
  <c r="X66" i="22"/>
  <c r="X193" i="10"/>
  <c r="Z47" i="11"/>
  <c r="W188" i="10"/>
  <c r="J47" i="15"/>
  <c r="AK49" i="13"/>
  <c r="L28" i="15"/>
  <c r="M28" i="15"/>
  <c r="N28" i="15"/>
  <c r="AI18" i="26"/>
  <c r="AI21" i="26"/>
  <c r="AI60" i="26"/>
  <c r="AF189" i="10"/>
  <c r="AI20" i="13"/>
  <c r="AI22" i="13"/>
  <c r="X7" i="11"/>
  <c r="K33" i="15"/>
  <c r="K37" i="15"/>
  <c r="AI52" i="29"/>
  <c r="AI60" i="29"/>
  <c r="AG62" i="29"/>
  <c r="AH60" i="29"/>
  <c r="AH62" i="29"/>
  <c r="AJ26" i="4"/>
  <c r="AD61" i="11"/>
  <c r="AD70" i="11"/>
  <c r="AD144" i="10"/>
  <c r="AD156" i="10"/>
  <c r="AG79" i="9"/>
  <c r="AG80" i="9"/>
  <c r="AI46" i="4"/>
  <c r="AI121" i="10"/>
  <c r="AJ45" i="11"/>
  <c r="AI62" i="13"/>
  <c r="AI64" i="13"/>
  <c r="AI62" i="26"/>
  <c r="AI64" i="26"/>
  <c r="AH64" i="8"/>
  <c r="AH63" i="22"/>
  <c r="AH190" i="10"/>
  <c r="AJ51" i="9"/>
  <c r="AJ53" i="9"/>
  <c r="AK49" i="8"/>
  <c r="AK51" i="8"/>
  <c r="AK62" i="8"/>
  <c r="AK19" i="8"/>
  <c r="AK30" i="8"/>
  <c r="AL13" i="8"/>
  <c r="AK46" i="8"/>
  <c r="AK24" i="4"/>
  <c r="AK49" i="4"/>
  <c r="AK20" i="4"/>
  <c r="AK66" i="4"/>
  <c r="AK25" i="4"/>
  <c r="AL13" i="4"/>
  <c r="AG131" i="10"/>
  <c r="AG65" i="8"/>
  <c r="AG67" i="8"/>
  <c r="AG68" i="8"/>
  <c r="AG69" i="8"/>
  <c r="AG66" i="8"/>
  <c r="AJ51" i="13"/>
  <c r="AJ53" i="13"/>
  <c r="AM16" i="4"/>
  <c r="AM204" i="10"/>
  <c r="AM97" i="10"/>
  <c r="AJ17" i="13"/>
  <c r="AJ73" i="9"/>
  <c r="AJ65" i="13"/>
  <c r="AJ18" i="13"/>
  <c r="AJ21" i="13"/>
  <c r="AJ60" i="13"/>
  <c r="AJ65" i="29"/>
  <c r="AJ20" i="29"/>
  <c r="AJ22" i="29"/>
  <c r="AJ60" i="8"/>
  <c r="AJ20" i="8"/>
  <c r="AJ22" i="8"/>
  <c r="AJ65" i="26"/>
  <c r="AJ20" i="26"/>
  <c r="AJ22" i="26"/>
  <c r="AF140" i="10"/>
  <c r="AF152" i="10"/>
  <c r="AF160" i="10"/>
  <c r="AF57" i="11"/>
  <c r="AF66" i="11"/>
  <c r="AF192" i="10"/>
  <c r="AF73" i="22"/>
  <c r="AK67" i="26"/>
  <c r="AK19" i="26"/>
  <c r="AL13" i="26"/>
  <c r="AK30" i="26"/>
  <c r="AK43" i="26"/>
  <c r="AK45" i="26"/>
  <c r="AH180" i="10"/>
  <c r="AI55" i="13"/>
  <c r="AH58" i="13"/>
  <c r="AH124" i="10"/>
  <c r="AI48" i="11"/>
  <c r="AH68" i="13"/>
  <c r="AK45" i="9"/>
  <c r="AK76" i="9"/>
  <c r="AL13" i="9"/>
  <c r="AK47" i="9"/>
  <c r="AK49" i="9"/>
  <c r="AK36" i="9"/>
  <c r="AK63" i="9"/>
  <c r="AK47" i="26"/>
  <c r="AH71" i="9"/>
  <c r="AH77" i="9"/>
  <c r="AH72" i="9"/>
  <c r="AI54" i="22"/>
  <c r="AI182" i="10"/>
  <c r="AJ43" i="13"/>
  <c r="AE83" i="9"/>
  <c r="AE84" i="9"/>
  <c r="AE82" i="9"/>
  <c r="AE135" i="10"/>
  <c r="AK47" i="13"/>
  <c r="AL13" i="13"/>
  <c r="AL49" i="13"/>
  <c r="AK19" i="13"/>
  <c r="AK67" i="13"/>
  <c r="AK45" i="13"/>
  <c r="AK30" i="13"/>
  <c r="AF81" i="9"/>
  <c r="AF67" i="22"/>
  <c r="AJ17" i="26"/>
  <c r="AF71" i="13"/>
  <c r="AF133" i="10"/>
  <c r="AF72" i="13"/>
  <c r="AF70" i="13"/>
  <c r="AG71" i="22"/>
  <c r="AE75" i="22"/>
  <c r="AE194" i="10"/>
  <c r="AJ17" i="8"/>
  <c r="AH62" i="26"/>
  <c r="AH64" i="26"/>
  <c r="AG64" i="9"/>
  <c r="AG126" i="10"/>
  <c r="AH50" i="11"/>
  <c r="AH59" i="9"/>
  <c r="AK16" i="29"/>
  <c r="AK98" i="10"/>
  <c r="AK16" i="13"/>
  <c r="AK16" i="8"/>
  <c r="AK17" i="4"/>
  <c r="AK18" i="4"/>
  <c r="AK16" i="26"/>
  <c r="AK16" i="9"/>
  <c r="AK17" i="9"/>
  <c r="AK69" i="9"/>
  <c r="AJ18" i="29"/>
  <c r="AJ21" i="29"/>
  <c r="AJ17" i="29"/>
  <c r="AE162" i="10"/>
  <c r="AE142" i="10"/>
  <c r="AE154" i="10"/>
  <c r="AE59" i="11"/>
  <c r="AE68" i="11"/>
  <c r="AK43" i="29"/>
  <c r="AL13" i="29"/>
  <c r="AK67" i="29"/>
  <c r="AK19" i="29"/>
  <c r="AJ53" i="26"/>
  <c r="AK28" i="4"/>
  <c r="AJ44" i="4"/>
  <c r="AJ51" i="22"/>
  <c r="AJ179" i="10"/>
  <c r="AI45" i="8"/>
  <c r="AI122" i="10"/>
  <c r="AJ46" i="11"/>
  <c r="AI52" i="22"/>
  <c r="AJ43" i="8"/>
  <c r="AI63" i="8"/>
  <c r="AG69" i="13"/>
  <c r="AG65" i="22"/>
  <c r="AL204" i="10"/>
  <c r="AL97" i="10"/>
  <c r="AL16" i="4"/>
  <c r="AI70" i="9"/>
  <c r="AI55" i="9"/>
  <c r="AI57" i="9"/>
  <c r="N13" i="15"/>
  <c r="V216" i="10"/>
  <c r="N7" i="30"/>
  <c r="V206" i="10"/>
  <c r="V208" i="10"/>
  <c r="Y41" i="22"/>
  <c r="W60" i="11"/>
  <c r="W69" i="11"/>
  <c r="W163" i="10"/>
  <c r="W143" i="10"/>
  <c r="W138" i="10"/>
  <c r="W169" i="10"/>
  <c r="E121" i="34"/>
  <c r="E123" i="34"/>
  <c r="E125" i="34"/>
  <c r="E127" i="34"/>
  <c r="E131" i="34"/>
  <c r="E133" i="34"/>
  <c r="U220" i="10"/>
  <c r="U218" i="10"/>
  <c r="U222" i="10"/>
  <c r="M9" i="30"/>
  <c r="X72" i="29"/>
  <c r="X71" i="29"/>
  <c r="X70" i="29"/>
  <c r="X134" i="10"/>
  <c r="X129" i="10"/>
  <c r="X73" i="26"/>
  <c r="X74" i="26"/>
  <c r="W67" i="11"/>
  <c r="AA58" i="26"/>
  <c r="AA123" i="10"/>
  <c r="AB55" i="26"/>
  <c r="AA68" i="26"/>
  <c r="AA53" i="22"/>
  <c r="Y69" i="29"/>
  <c r="Y66" i="22"/>
  <c r="Y193" i="10"/>
  <c r="AE151" i="10"/>
  <c r="W73" i="29"/>
  <c r="W74" i="29"/>
  <c r="W200" i="10"/>
  <c r="Y70" i="26"/>
  <c r="Y71" i="26"/>
  <c r="Y72" i="26"/>
  <c r="Y132" i="10"/>
  <c r="AG189" i="10"/>
  <c r="AG70" i="22"/>
  <c r="M16" i="15"/>
  <c r="M18" i="15"/>
  <c r="M30" i="15"/>
  <c r="M44" i="15"/>
  <c r="X61" i="22"/>
  <c r="K47" i="15"/>
  <c r="V150" i="10"/>
  <c r="G104" i="10"/>
  <c r="I104" i="10"/>
  <c r="V168" i="10"/>
  <c r="V170" i="10"/>
  <c r="V172" i="10"/>
  <c r="V167" i="10"/>
  <c r="L40" i="15"/>
  <c r="L20" i="15"/>
  <c r="L41" i="15"/>
  <c r="W153" i="10"/>
  <c r="G95" i="26"/>
  <c r="Z123" i="10"/>
  <c r="Z55" i="22"/>
  <c r="Z50" i="22"/>
  <c r="Z68" i="29"/>
  <c r="AA54" i="29"/>
  <c r="G90" i="29"/>
  <c r="Z57" i="29"/>
  <c r="AI62" i="4"/>
  <c r="AI63" i="4"/>
  <c r="AI64" i="4"/>
  <c r="AI68" i="4"/>
  <c r="AI71" i="4"/>
  <c r="AI72" i="4"/>
  <c r="AI73" i="4"/>
  <c r="V155" i="10"/>
  <c r="V171" i="10"/>
  <c r="AH74" i="4"/>
  <c r="AH62" i="22"/>
  <c r="V74" i="11"/>
  <c r="X74" i="22"/>
  <c r="L33" i="15"/>
  <c r="L37" i="15"/>
  <c r="L36" i="15"/>
  <c r="Z64" i="22"/>
  <c r="Z72" i="22"/>
  <c r="G87" i="26"/>
  <c r="G88" i="26"/>
  <c r="Z69" i="26"/>
  <c r="U210" i="10"/>
  <c r="V202" i="10"/>
  <c r="AG76" i="4"/>
  <c r="AG75" i="4"/>
  <c r="AG77" i="4"/>
  <c r="AG130" i="10"/>
  <c r="E109" i="34"/>
  <c r="X141" i="10"/>
  <c r="X58" i="11"/>
  <c r="X161" i="10"/>
  <c r="Z181" i="10"/>
  <c r="Y183" i="10"/>
  <c r="Y178" i="10"/>
  <c r="AE73" i="11"/>
  <c r="AE65" i="11"/>
  <c r="AE77" i="11"/>
  <c r="AJ55" i="4"/>
  <c r="AJ57" i="4"/>
  <c r="AJ60" i="4"/>
  <c r="AK41" i="4"/>
  <c r="W43" i="22"/>
  <c r="W69" i="22"/>
  <c r="Y191" i="10"/>
  <c r="AF139" i="10"/>
  <c r="AF56" i="11"/>
  <c r="AF159" i="10"/>
  <c r="Y120" i="10"/>
  <c r="W129" i="10"/>
  <c r="X188" i="10"/>
  <c r="V78" i="11"/>
  <c r="K48" i="15"/>
  <c r="M45" i="15"/>
  <c r="L45" i="15"/>
  <c r="L48" i="15"/>
  <c r="AH64" i="29"/>
  <c r="AJ61" i="4"/>
  <c r="AJ62" i="4"/>
  <c r="AJ63" i="4"/>
  <c r="AJ18" i="26"/>
  <c r="AJ21" i="26"/>
  <c r="AJ60" i="26"/>
  <c r="AJ62" i="26"/>
  <c r="AJ20" i="13"/>
  <c r="AJ22" i="13"/>
  <c r="AJ18" i="8"/>
  <c r="AJ21" i="8"/>
  <c r="AJ55" i="8"/>
  <c r="AJ57" i="8"/>
  <c r="AJ59" i="8"/>
  <c r="AJ63" i="8"/>
  <c r="Y188" i="10"/>
  <c r="AH71" i="22"/>
  <c r="Y61" i="22"/>
  <c r="Y43" i="22"/>
  <c r="Y74" i="22"/>
  <c r="L47" i="15"/>
  <c r="W78" i="11"/>
  <c r="W74" i="11"/>
  <c r="AL47" i="26"/>
  <c r="AK51" i="9"/>
  <c r="AK53" i="9"/>
  <c r="AJ62" i="13"/>
  <c r="AJ64" i="13"/>
  <c r="AG71" i="13"/>
  <c r="AG70" i="13"/>
  <c r="AG72" i="13"/>
  <c r="AG133" i="10"/>
  <c r="AK17" i="29"/>
  <c r="AF84" i="9"/>
  <c r="AF83" i="9"/>
  <c r="AF135" i="10"/>
  <c r="AF82" i="9"/>
  <c r="AH69" i="13"/>
  <c r="AH65" i="22"/>
  <c r="AH65" i="8"/>
  <c r="AH66" i="8"/>
  <c r="AH67" i="8"/>
  <c r="AH68" i="8"/>
  <c r="AH69" i="8"/>
  <c r="AH131" i="10"/>
  <c r="AK26" i="4"/>
  <c r="AI71" i="9"/>
  <c r="AI77" i="9"/>
  <c r="AI72" i="9"/>
  <c r="AG73" i="22"/>
  <c r="AG192" i="10"/>
  <c r="AI180" i="10"/>
  <c r="AJ64" i="26"/>
  <c r="AL43" i="29"/>
  <c r="AM13" i="29"/>
  <c r="AL67" i="29"/>
  <c r="AL19" i="29"/>
  <c r="AK17" i="26"/>
  <c r="AK60" i="8"/>
  <c r="AK20" i="8"/>
  <c r="AK22" i="8"/>
  <c r="AK65" i="26"/>
  <c r="AK20" i="26"/>
  <c r="AK22" i="26"/>
  <c r="AK73" i="9"/>
  <c r="AK65" i="13"/>
  <c r="AK20" i="13"/>
  <c r="AK22" i="13"/>
  <c r="AK65" i="29"/>
  <c r="AK20" i="29"/>
  <c r="AK22" i="29"/>
  <c r="AG81" i="9"/>
  <c r="AG67" i="22"/>
  <c r="AF162" i="10"/>
  <c r="AF59" i="11"/>
  <c r="AF68" i="11"/>
  <c r="AF142" i="10"/>
  <c r="AF154" i="10"/>
  <c r="AF194" i="10"/>
  <c r="AF75" i="22"/>
  <c r="AE164" i="10"/>
  <c r="AE144" i="10"/>
  <c r="AE156" i="10"/>
  <c r="AE61" i="11"/>
  <c r="AE70" i="11"/>
  <c r="AK43" i="13"/>
  <c r="AJ54" i="22"/>
  <c r="AJ182" i="10"/>
  <c r="AM13" i="26"/>
  <c r="AL30" i="26"/>
  <c r="AL43" i="26"/>
  <c r="AL67" i="26"/>
  <c r="AL19" i="26"/>
  <c r="AL45" i="26"/>
  <c r="AL24" i="4"/>
  <c r="AL20" i="4"/>
  <c r="AL25" i="4"/>
  <c r="AM13" i="4"/>
  <c r="AL49" i="4"/>
  <c r="AL66" i="4"/>
  <c r="AK43" i="8"/>
  <c r="AJ45" i="8"/>
  <c r="AJ122" i="10"/>
  <c r="AK46" i="11"/>
  <c r="AJ52" i="22"/>
  <c r="AK44" i="4"/>
  <c r="AK46" i="4"/>
  <c r="AK121" i="10"/>
  <c r="AL45" i="11"/>
  <c r="AL28" i="4"/>
  <c r="AK17" i="13"/>
  <c r="AI59" i="9"/>
  <c r="AH64" i="9"/>
  <c r="AH126" i="10"/>
  <c r="AI50" i="11"/>
  <c r="AF73" i="13"/>
  <c r="AF74" i="13"/>
  <c r="AK51" i="13"/>
  <c r="AK53" i="13"/>
  <c r="AI68" i="13"/>
  <c r="AJ55" i="13"/>
  <c r="AI58" i="13"/>
  <c r="AI124" i="10"/>
  <c r="AJ48" i="11"/>
  <c r="AM16" i="8"/>
  <c r="AM98" i="10"/>
  <c r="AM17" i="4"/>
  <c r="AM18" i="4"/>
  <c r="AM16" i="29"/>
  <c r="AM16" i="9"/>
  <c r="AM17" i="9"/>
  <c r="AM69" i="9"/>
  <c r="AM16" i="13"/>
  <c r="AM16" i="26"/>
  <c r="AG160" i="10"/>
  <c r="AG140" i="10"/>
  <c r="AG152" i="10"/>
  <c r="AG57" i="11"/>
  <c r="AG66" i="11"/>
  <c r="AL49" i="8"/>
  <c r="AL51" i="8"/>
  <c r="AL30" i="8"/>
  <c r="AM13" i="8"/>
  <c r="AL62" i="8"/>
  <c r="AL19" i="8"/>
  <c r="AL46" i="8"/>
  <c r="AJ55" i="9"/>
  <c r="AJ57" i="9"/>
  <c r="AJ70" i="9"/>
  <c r="AH79" i="9"/>
  <c r="AH80" i="9"/>
  <c r="AI62" i="29"/>
  <c r="AI64" i="29"/>
  <c r="AL16" i="9"/>
  <c r="AL17" i="9"/>
  <c r="AL69" i="9"/>
  <c r="AL16" i="13"/>
  <c r="AL16" i="8"/>
  <c r="AL16" i="29"/>
  <c r="AL17" i="4"/>
  <c r="AL18" i="4"/>
  <c r="AL98" i="10"/>
  <c r="AL16" i="26"/>
  <c r="AI64" i="8"/>
  <c r="AI63" i="22"/>
  <c r="AI190" i="10"/>
  <c r="AK17" i="8"/>
  <c r="AL67" i="13"/>
  <c r="AL47" i="13"/>
  <c r="AL30" i="13"/>
  <c r="AL45" i="13"/>
  <c r="AL19" i="13"/>
  <c r="AM13" i="13"/>
  <c r="AM49" i="13"/>
  <c r="AL76" i="9"/>
  <c r="AL36" i="9"/>
  <c r="AL47" i="9"/>
  <c r="AL49" i="9"/>
  <c r="AL63" i="9"/>
  <c r="AM13" i="9"/>
  <c r="AL45" i="9"/>
  <c r="AJ46" i="4"/>
  <c r="AJ121" i="10"/>
  <c r="AK45" i="11"/>
  <c r="AK51" i="26"/>
  <c r="AJ52" i="29"/>
  <c r="AJ60" i="29"/>
  <c r="O7" i="30"/>
  <c r="W216" i="10"/>
  <c r="O13" i="15"/>
  <c r="W206" i="10"/>
  <c r="W208" i="10"/>
  <c r="Z41" i="22"/>
  <c r="G102" i="26"/>
  <c r="G104" i="26"/>
  <c r="G99" i="26"/>
  <c r="AH189" i="10"/>
  <c r="AH70" i="22"/>
  <c r="AI62" i="22"/>
  <c r="AI74" i="4"/>
  <c r="AB54" i="29"/>
  <c r="AA68" i="29"/>
  <c r="AA55" i="22"/>
  <c r="AA50" i="22"/>
  <c r="AA57" i="29"/>
  <c r="AA125" i="10"/>
  <c r="AB49" i="11"/>
  <c r="M40" i="15"/>
  <c r="M20" i="15"/>
  <c r="M41" i="15"/>
  <c r="Y73" i="26"/>
  <c r="Y74" i="26"/>
  <c r="AB53" i="22"/>
  <c r="AC55" i="26"/>
  <c r="AB58" i="26"/>
  <c r="AB123" i="10"/>
  <c r="AB68" i="26"/>
  <c r="X163" i="10"/>
  <c r="X143" i="10"/>
  <c r="X138" i="10"/>
  <c r="X169" i="10"/>
  <c r="X60" i="11"/>
  <c r="X69" i="11"/>
  <c r="O28" i="15"/>
  <c r="N16" i="15"/>
  <c r="N45" i="15"/>
  <c r="N18" i="15"/>
  <c r="N30" i="15"/>
  <c r="N44" i="15"/>
  <c r="Z72" i="26"/>
  <c r="G96" i="26"/>
  <c r="G97" i="26"/>
  <c r="Z132" i="10"/>
  <c r="Z70" i="26"/>
  <c r="Z71" i="26"/>
  <c r="G101" i="34"/>
  <c r="AA47" i="11"/>
  <c r="M36" i="15"/>
  <c r="M33" i="15"/>
  <c r="M37" i="15"/>
  <c r="Y161" i="10"/>
  <c r="Y141" i="10"/>
  <c r="Y58" i="11"/>
  <c r="AA69" i="26"/>
  <c r="AA64" i="22"/>
  <c r="AA72" i="22"/>
  <c r="X73" i="29"/>
  <c r="X74" i="29"/>
  <c r="X200" i="10"/>
  <c r="E135" i="34"/>
  <c r="V218" i="10"/>
  <c r="V222" i="10"/>
  <c r="N9" i="30"/>
  <c r="V220" i="10"/>
  <c r="Y45" i="22"/>
  <c r="Y46" i="22"/>
  <c r="X9" i="11"/>
  <c r="X55" i="11"/>
  <c r="X64" i="11"/>
  <c r="X158" i="10"/>
  <c r="X136" i="10"/>
  <c r="AF151" i="10"/>
  <c r="AK55" i="4"/>
  <c r="AK57" i="4"/>
  <c r="AK60" i="4"/>
  <c r="AL41" i="4"/>
  <c r="X153" i="10"/>
  <c r="AG139" i="10"/>
  <c r="AG159" i="10"/>
  <c r="AG56" i="11"/>
  <c r="Z125" i="10"/>
  <c r="G99" i="29"/>
  <c r="Z183" i="10"/>
  <c r="Z178" i="10"/>
  <c r="AA181" i="10"/>
  <c r="W171" i="10"/>
  <c r="W155" i="10"/>
  <c r="W55" i="11"/>
  <c r="W64" i="11"/>
  <c r="W158" i="10"/>
  <c r="W136" i="10"/>
  <c r="W9" i="11"/>
  <c r="Y7" i="11"/>
  <c r="Z44" i="11"/>
  <c r="AF73" i="11"/>
  <c r="AF65" i="11"/>
  <c r="AF77" i="11"/>
  <c r="X67" i="11"/>
  <c r="W202" i="10"/>
  <c r="V210" i="10"/>
  <c r="Z191" i="10"/>
  <c r="AH75" i="4"/>
  <c r="AH77" i="4"/>
  <c r="AH76" i="4"/>
  <c r="AH130" i="10"/>
  <c r="Z69" i="29"/>
  <c r="G91" i="29"/>
  <c r="G92" i="29"/>
  <c r="Z66" i="22"/>
  <c r="Z193" i="10"/>
  <c r="W150" i="10"/>
  <c r="W168" i="10"/>
  <c r="W170" i="10"/>
  <c r="W172" i="10"/>
  <c r="W167" i="10"/>
  <c r="X43" i="22"/>
  <c r="X69" i="22"/>
  <c r="Y71" i="29"/>
  <c r="Y134" i="10"/>
  <c r="Y72" i="29"/>
  <c r="Y70" i="29"/>
  <c r="AB47" i="11"/>
  <c r="AA120" i="10"/>
  <c r="Y69" i="22"/>
  <c r="AJ64" i="4"/>
  <c r="AJ68" i="4"/>
  <c r="AJ71" i="4"/>
  <c r="AJ72" i="4"/>
  <c r="AJ73" i="4"/>
  <c r="AJ62" i="22"/>
  <c r="AK18" i="13"/>
  <c r="AK21" i="13"/>
  <c r="AK60" i="13"/>
  <c r="AK64" i="13"/>
  <c r="X74" i="11"/>
  <c r="X78" i="11"/>
  <c r="M48" i="15"/>
  <c r="AM47" i="26"/>
  <c r="AK61" i="4"/>
  <c r="AL51" i="26"/>
  <c r="AL53" i="26"/>
  <c r="AK18" i="8"/>
  <c r="AK21" i="8"/>
  <c r="AK55" i="8"/>
  <c r="AK57" i="8"/>
  <c r="AK59" i="8"/>
  <c r="AK51" i="22"/>
  <c r="AK179" i="10"/>
  <c r="M47" i="15"/>
  <c r="AK18" i="26"/>
  <c r="AK21" i="26"/>
  <c r="AK60" i="26"/>
  <c r="AH81" i="9"/>
  <c r="AH67" i="22"/>
  <c r="AL51" i="9"/>
  <c r="AL53" i="9"/>
  <c r="AJ62" i="29"/>
  <c r="AJ64" i="29"/>
  <c r="AM36" i="9"/>
  <c r="AM45" i="9"/>
  <c r="AM47" i="9"/>
  <c r="AM49" i="9"/>
  <c r="AM51" i="9"/>
  <c r="AM76" i="9"/>
  <c r="AM63" i="9"/>
  <c r="AL65" i="26"/>
  <c r="AL20" i="26"/>
  <c r="AL22" i="26"/>
  <c r="AL60" i="8"/>
  <c r="AL20" i="8"/>
  <c r="AL22" i="8"/>
  <c r="AL65" i="13"/>
  <c r="AL18" i="13"/>
  <c r="AL21" i="13"/>
  <c r="AL60" i="13"/>
  <c r="AL73" i="9"/>
  <c r="AL65" i="29"/>
  <c r="AL20" i="29"/>
  <c r="AL22" i="29"/>
  <c r="AL17" i="13"/>
  <c r="AM17" i="26"/>
  <c r="AK55" i="13"/>
  <c r="AJ68" i="13"/>
  <c r="AJ58" i="13"/>
  <c r="AJ124" i="10"/>
  <c r="AK48" i="11"/>
  <c r="AJ59" i="9"/>
  <c r="AI64" i="9"/>
  <c r="AI126" i="10"/>
  <c r="AJ50" i="11"/>
  <c r="AK45" i="8"/>
  <c r="AK122" i="10"/>
  <c r="AL46" i="11"/>
  <c r="AK52" i="22"/>
  <c r="AK63" i="8"/>
  <c r="AL43" i="8"/>
  <c r="AG194" i="10"/>
  <c r="AG75" i="22"/>
  <c r="AF144" i="10"/>
  <c r="AF156" i="10"/>
  <c r="AF61" i="11"/>
  <c r="AF70" i="11"/>
  <c r="AF164" i="10"/>
  <c r="AL26" i="4"/>
  <c r="AI79" i="9"/>
  <c r="AI80" i="9"/>
  <c r="AL17" i="26"/>
  <c r="AL17" i="8"/>
  <c r="AL18" i="8"/>
  <c r="AL21" i="8"/>
  <c r="AL55" i="8"/>
  <c r="AL57" i="8"/>
  <c r="AL59" i="8"/>
  <c r="AM17" i="29"/>
  <c r="AL44" i="4"/>
  <c r="AL51" i="22"/>
  <c r="AL179" i="10"/>
  <c r="AM28" i="4"/>
  <c r="AM44" i="4"/>
  <c r="AK54" i="22"/>
  <c r="AK182" i="10"/>
  <c r="AL43" i="13"/>
  <c r="AM19" i="29"/>
  <c r="AM67" i="29"/>
  <c r="AM43" i="29"/>
  <c r="AK55" i="9"/>
  <c r="AK57" i="9"/>
  <c r="AK70" i="9"/>
  <c r="G107" i="26"/>
  <c r="G54" i="34"/>
  <c r="AI71" i="22"/>
  <c r="AK18" i="29"/>
  <c r="AK21" i="29"/>
  <c r="AI131" i="10"/>
  <c r="AI65" i="8"/>
  <c r="AI67" i="8"/>
  <c r="AI66" i="8"/>
  <c r="AL17" i="29"/>
  <c r="AL18" i="29"/>
  <c r="AL21" i="29"/>
  <c r="AM49" i="8"/>
  <c r="AM46" i="8"/>
  <c r="AM19" i="8"/>
  <c r="AM62" i="8"/>
  <c r="AM30" i="8"/>
  <c r="AM17" i="8"/>
  <c r="AJ180" i="10"/>
  <c r="AH72" i="13"/>
  <c r="AH73" i="13"/>
  <c r="AH74" i="13"/>
  <c r="AH71" i="13"/>
  <c r="AH133" i="10"/>
  <c r="AH70" i="13"/>
  <c r="AG73" i="13"/>
  <c r="AG74" i="13"/>
  <c r="AK53" i="26"/>
  <c r="AK52" i="29"/>
  <c r="AM67" i="13"/>
  <c r="AM47" i="13"/>
  <c r="AM19" i="13"/>
  <c r="AM30" i="13"/>
  <c r="AM45" i="13"/>
  <c r="AL51" i="13"/>
  <c r="AL53" i="13"/>
  <c r="AJ72" i="9"/>
  <c r="AJ71" i="9"/>
  <c r="AJ77" i="9"/>
  <c r="AM17" i="13"/>
  <c r="AM60" i="8"/>
  <c r="AM18" i="8"/>
  <c r="AM73" i="9"/>
  <c r="AM65" i="13"/>
  <c r="AM18" i="13"/>
  <c r="AM65" i="29"/>
  <c r="AM65" i="26"/>
  <c r="AM18" i="26"/>
  <c r="AI69" i="13"/>
  <c r="AI65" i="22"/>
  <c r="AJ64" i="8"/>
  <c r="AJ63" i="22"/>
  <c r="AJ190" i="10"/>
  <c r="AM49" i="4"/>
  <c r="AM66" i="4"/>
  <c r="AM20" i="4"/>
  <c r="AM24" i="4"/>
  <c r="AM25" i="4"/>
  <c r="AM19" i="26"/>
  <c r="AM30" i="26"/>
  <c r="AM43" i="26"/>
  <c r="AM67" i="26"/>
  <c r="AM45" i="26"/>
  <c r="AG135" i="10"/>
  <c r="AG82" i="9"/>
  <c r="AG84" i="9"/>
  <c r="AG83" i="9"/>
  <c r="AH57" i="11"/>
  <c r="AH66" i="11"/>
  <c r="AH140" i="10"/>
  <c r="AH152" i="10"/>
  <c r="AH160" i="10"/>
  <c r="AH192" i="10"/>
  <c r="AH73" i="22"/>
  <c r="AG59" i="11"/>
  <c r="AG68" i="11"/>
  <c r="AG162" i="10"/>
  <c r="AG142" i="10"/>
  <c r="AG154" i="10"/>
  <c r="AA7" i="11"/>
  <c r="AB44" i="11"/>
  <c r="Y60" i="11"/>
  <c r="Y69" i="11"/>
  <c r="Y143" i="10"/>
  <c r="Y163" i="10"/>
  <c r="AH56" i="11"/>
  <c r="AH139" i="10"/>
  <c r="AH159" i="10"/>
  <c r="Y73" i="29"/>
  <c r="Y74" i="29"/>
  <c r="Y200" i="10"/>
  <c r="Z134" i="10"/>
  <c r="Z129" i="10"/>
  <c r="Z70" i="29"/>
  <c r="Z71" i="29"/>
  <c r="Z72" i="29"/>
  <c r="G100" i="29"/>
  <c r="G101" i="29"/>
  <c r="X202" i="10"/>
  <c r="W210" i="10"/>
  <c r="AA41" i="22"/>
  <c r="AA191" i="10"/>
  <c r="Z58" i="11"/>
  <c r="Z161" i="10"/>
  <c r="Z141" i="10"/>
  <c r="P28" i="15"/>
  <c r="AB181" i="10"/>
  <c r="AA183" i="10"/>
  <c r="AI189" i="10"/>
  <c r="AI70" i="22"/>
  <c r="W220" i="10"/>
  <c r="W218" i="10"/>
  <c r="W222" i="10"/>
  <c r="O9" i="30"/>
  <c r="Z61" i="22"/>
  <c r="Z74" i="22"/>
  <c r="Y129" i="10"/>
  <c r="G106" i="29"/>
  <c r="G108" i="29"/>
  <c r="G103" i="29"/>
  <c r="AJ74" i="4"/>
  <c r="AG73" i="11"/>
  <c r="AG65" i="11"/>
  <c r="AG77" i="11"/>
  <c r="G103" i="34"/>
  <c r="X171" i="10"/>
  <c r="X155" i="10"/>
  <c r="AC53" i="22"/>
  <c r="AD55" i="26"/>
  <c r="AC58" i="26"/>
  <c r="AC123" i="10"/>
  <c r="AC68" i="26"/>
  <c r="AI130" i="10"/>
  <c r="AI76" i="4"/>
  <c r="AI75" i="4"/>
  <c r="AI77" i="4"/>
  <c r="G105" i="26"/>
  <c r="G110" i="26"/>
  <c r="G56" i="34"/>
  <c r="G232" i="10"/>
  <c r="G109" i="26"/>
  <c r="G58" i="34"/>
  <c r="O16" i="15"/>
  <c r="O45" i="15"/>
  <c r="O18" i="15"/>
  <c r="O30" i="15"/>
  <c r="O44" i="15"/>
  <c r="I101" i="34"/>
  <c r="K101" i="34"/>
  <c r="AA49" i="11"/>
  <c r="X150" i="10"/>
  <c r="X168" i="10"/>
  <c r="X172" i="10"/>
  <c r="X170" i="10"/>
  <c r="X167" i="10"/>
  <c r="AK62" i="4"/>
  <c r="AK63" i="4"/>
  <c r="AK64" i="4"/>
  <c r="AK68" i="4"/>
  <c r="AK71" i="4"/>
  <c r="AK72" i="4"/>
  <c r="AK73" i="4"/>
  <c r="X216" i="10"/>
  <c r="P13" i="15"/>
  <c r="P7" i="30"/>
  <c r="X206" i="10"/>
  <c r="X208" i="10"/>
  <c r="Y153" i="10"/>
  <c r="Y138" i="10"/>
  <c r="Y169" i="10"/>
  <c r="Z73" i="26"/>
  <c r="Z74" i="26"/>
  <c r="N36" i="15"/>
  <c r="N33" i="15"/>
  <c r="N37" i="15"/>
  <c r="AC47" i="11"/>
  <c r="AB55" i="22"/>
  <c r="AB68" i="29"/>
  <c r="AC54" i="29"/>
  <c r="AB57" i="29"/>
  <c r="AB125" i="10"/>
  <c r="AC49" i="11"/>
  <c r="Z188" i="10"/>
  <c r="Z120" i="10"/>
  <c r="AG151" i="10"/>
  <c r="AL55" i="4"/>
  <c r="AL57" i="4"/>
  <c r="AL60" i="4"/>
  <c r="AM41" i="4"/>
  <c r="AM55" i="4"/>
  <c r="AM57" i="4"/>
  <c r="AM60" i="4"/>
  <c r="AA72" i="26"/>
  <c r="AA71" i="26"/>
  <c r="AA132" i="10"/>
  <c r="AA70" i="26"/>
  <c r="Y67" i="11"/>
  <c r="N40" i="15"/>
  <c r="N20" i="15"/>
  <c r="N41" i="15"/>
  <c r="AB64" i="22"/>
  <c r="AB69" i="26"/>
  <c r="AA69" i="29"/>
  <c r="AA66" i="22"/>
  <c r="AA193" i="10"/>
  <c r="AA178" i="10"/>
  <c r="AK62" i="13"/>
  <c r="AM51" i="26"/>
  <c r="AM53" i="26"/>
  <c r="G111" i="29"/>
  <c r="I54" i="34"/>
  <c r="AL46" i="4"/>
  <c r="AL121" i="10"/>
  <c r="AM45" i="11"/>
  <c r="AL61" i="4"/>
  <c r="AL62" i="4"/>
  <c r="AL63" i="4"/>
  <c r="AM21" i="8"/>
  <c r="AM55" i="8"/>
  <c r="AM57" i="8"/>
  <c r="AL20" i="13"/>
  <c r="AL22" i="13"/>
  <c r="Y74" i="11"/>
  <c r="AM21" i="13"/>
  <c r="AM60" i="13"/>
  <c r="AJ79" i="9"/>
  <c r="AJ80" i="9"/>
  <c r="Y78" i="11"/>
  <c r="AM20" i="29"/>
  <c r="AM22" i="29"/>
  <c r="AM26" i="4"/>
  <c r="AM61" i="4"/>
  <c r="AM21" i="26"/>
  <c r="AL52" i="29"/>
  <c r="AL60" i="29"/>
  <c r="AL64" i="29"/>
  <c r="AM20" i="13"/>
  <c r="AM22" i="13"/>
  <c r="AK60" i="29"/>
  <c r="AK64" i="29"/>
  <c r="AI73" i="22"/>
  <c r="AI192" i="10"/>
  <c r="AL62" i="13"/>
  <c r="AL64" i="13"/>
  <c r="AM51" i="13"/>
  <c r="AM53" i="13"/>
  <c r="AM51" i="8"/>
  <c r="AM43" i="8"/>
  <c r="AI68" i="8"/>
  <c r="AI69" i="8"/>
  <c r="AK72" i="9"/>
  <c r="AK71" i="9"/>
  <c r="AK77" i="9"/>
  <c r="AK180" i="10"/>
  <c r="AL55" i="9"/>
  <c r="AL57" i="9"/>
  <c r="AL70" i="9"/>
  <c r="AH135" i="10"/>
  <c r="AH84" i="9"/>
  <c r="AH82" i="9"/>
  <c r="AH83" i="9"/>
  <c r="AJ131" i="10"/>
  <c r="AJ67" i="8"/>
  <c r="AJ68" i="8"/>
  <c r="AJ69" i="8"/>
  <c r="AJ66" i="8"/>
  <c r="AJ65" i="8"/>
  <c r="AI81" i="9"/>
  <c r="AI67" i="22"/>
  <c r="AK64" i="8"/>
  <c r="AK63" i="22"/>
  <c r="AK190" i="10"/>
  <c r="AJ64" i="9"/>
  <c r="AJ126" i="10"/>
  <c r="AK50" i="11"/>
  <c r="AK59" i="9"/>
  <c r="AH75" i="22"/>
  <c r="AH194" i="10"/>
  <c r="AM53" i="9"/>
  <c r="AG164" i="10"/>
  <c r="AG144" i="10"/>
  <c r="AG156" i="10"/>
  <c r="AG61" i="11"/>
  <c r="AG70" i="11"/>
  <c r="AK64" i="26"/>
  <c r="AK62" i="26"/>
  <c r="AI140" i="10"/>
  <c r="AI152" i="10"/>
  <c r="AI57" i="11"/>
  <c r="AI66" i="11"/>
  <c r="AI160" i="10"/>
  <c r="AL63" i="8"/>
  <c r="AL52" i="22"/>
  <c r="AL45" i="8"/>
  <c r="AL122" i="10"/>
  <c r="AM46" i="11"/>
  <c r="AK58" i="13"/>
  <c r="AK124" i="10"/>
  <c r="AL48" i="11"/>
  <c r="AL55" i="13"/>
  <c r="AK68" i="13"/>
  <c r="AM20" i="26"/>
  <c r="AM22" i="26"/>
  <c r="AM20" i="8"/>
  <c r="AM22" i="8"/>
  <c r="AM18" i="29"/>
  <c r="AM21" i="29"/>
  <c r="AI72" i="13"/>
  <c r="AI70" i="13"/>
  <c r="AI71" i="13"/>
  <c r="AI133" i="10"/>
  <c r="AH59" i="11"/>
  <c r="AH68" i="11"/>
  <c r="AH142" i="10"/>
  <c r="AH154" i="10"/>
  <c r="AH162" i="10"/>
  <c r="AL54" i="22"/>
  <c r="AL182" i="10"/>
  <c r="AM43" i="13"/>
  <c r="AM54" i="22"/>
  <c r="AM182" i="10"/>
  <c r="AJ65" i="22"/>
  <c r="AJ69" i="13"/>
  <c r="AJ71" i="22"/>
  <c r="AL18" i="26"/>
  <c r="AL21" i="26"/>
  <c r="AL60" i="26"/>
  <c r="O36" i="15"/>
  <c r="O33" i="15"/>
  <c r="O37" i="15"/>
  <c r="Y216" i="10"/>
  <c r="Q7" i="30"/>
  <c r="Q13" i="15"/>
  <c r="Y206" i="10"/>
  <c r="Y208" i="10"/>
  <c r="AA70" i="29"/>
  <c r="AA71" i="29"/>
  <c r="AA134" i="10"/>
  <c r="AA129" i="10"/>
  <c r="AA72" i="29"/>
  <c r="AC68" i="29"/>
  <c r="AC55" i="22"/>
  <c r="AC50" i="22"/>
  <c r="AD54" i="29"/>
  <c r="AC57" i="29"/>
  <c r="AC125" i="10"/>
  <c r="AD49" i="11"/>
  <c r="P18" i="15"/>
  <c r="P30" i="15"/>
  <c r="P16" i="15"/>
  <c r="P45" i="15"/>
  <c r="P44" i="15"/>
  <c r="AC69" i="26"/>
  <c r="AC64" i="22"/>
  <c r="AC72" i="22"/>
  <c r="G109" i="29"/>
  <c r="G114" i="29"/>
  <c r="G113" i="29"/>
  <c r="I58" i="34"/>
  <c r="K58" i="34"/>
  <c r="G234" i="10"/>
  <c r="Z43" i="22"/>
  <c r="Z69" i="22"/>
  <c r="Q28" i="15"/>
  <c r="Z143" i="10"/>
  <c r="Z138" i="10"/>
  <c r="Z169" i="10"/>
  <c r="H112" i="10"/>
  <c r="Z60" i="11"/>
  <c r="Z69" i="11"/>
  <c r="Z163" i="10"/>
  <c r="Y171" i="10"/>
  <c r="Y155" i="10"/>
  <c r="AM51" i="22"/>
  <c r="I103" i="34"/>
  <c r="I105" i="34"/>
  <c r="I109" i="34"/>
  <c r="I60" i="34"/>
  <c r="AA73" i="26"/>
  <c r="AA74" i="26"/>
  <c r="Z7" i="11"/>
  <c r="AA44" i="11"/>
  <c r="G92" i="34"/>
  <c r="K56" i="34"/>
  <c r="AI159" i="10"/>
  <c r="AI139" i="10"/>
  <c r="AI56" i="11"/>
  <c r="AC181" i="10"/>
  <c r="F232" i="10"/>
  <c r="H232" i="10"/>
  <c r="Z153" i="10"/>
  <c r="G112" i="10"/>
  <c r="X210" i="10"/>
  <c r="Y202" i="10"/>
  <c r="AB120" i="10"/>
  <c r="AA74" i="22"/>
  <c r="AA188" i="10"/>
  <c r="AB191" i="10"/>
  <c r="AB183" i="10"/>
  <c r="AB178" i="10"/>
  <c r="AK62" i="22"/>
  <c r="AK74" i="4"/>
  <c r="O20" i="15"/>
  <c r="O41" i="15"/>
  <c r="O40" i="15"/>
  <c r="AE55" i="26"/>
  <c r="AD53" i="22"/>
  <c r="AD58" i="26"/>
  <c r="AD123" i="10"/>
  <c r="AD68" i="26"/>
  <c r="AJ76" i="4"/>
  <c r="AJ130" i="10"/>
  <c r="AJ75" i="4"/>
  <c r="AJ77" i="4"/>
  <c r="Z55" i="11"/>
  <c r="Z64" i="11"/>
  <c r="Z158" i="10"/>
  <c r="H103" i="10"/>
  <c r="Z136" i="10"/>
  <c r="Z9" i="11"/>
  <c r="J103" i="10"/>
  <c r="AH73" i="11"/>
  <c r="AH65" i="11"/>
  <c r="AH77" i="11"/>
  <c r="N47" i="15"/>
  <c r="K54" i="34"/>
  <c r="AB72" i="22"/>
  <c r="AA61" i="22"/>
  <c r="AB72" i="26"/>
  <c r="AB70" i="26"/>
  <c r="AB132" i="10"/>
  <c r="AB71" i="26"/>
  <c r="AA58" i="11"/>
  <c r="AA141" i="10"/>
  <c r="AA161" i="10"/>
  <c r="AL64" i="4"/>
  <c r="AL68" i="4"/>
  <c r="AL71" i="4"/>
  <c r="AL72" i="4"/>
  <c r="AL73" i="4"/>
  <c r="R104" i="10"/>
  <c r="T104" i="10"/>
  <c r="T103" i="10"/>
  <c r="R103" i="10"/>
  <c r="AB69" i="29"/>
  <c r="AB66" i="22"/>
  <c r="AB193" i="10"/>
  <c r="Y150" i="10"/>
  <c r="Y168" i="10"/>
  <c r="Y172" i="10"/>
  <c r="Y170" i="10"/>
  <c r="Y167" i="10"/>
  <c r="X218" i="10"/>
  <c r="X222" i="10"/>
  <c r="P9" i="30"/>
  <c r="X220" i="10"/>
  <c r="G60" i="34"/>
  <c r="AD47" i="11"/>
  <c r="AJ189" i="10"/>
  <c r="AJ70" i="22"/>
  <c r="Y9" i="11"/>
  <c r="Y158" i="10"/>
  <c r="Y55" i="11"/>
  <c r="Y64" i="11"/>
  <c r="Y136" i="10"/>
  <c r="Z67" i="11"/>
  <c r="Z73" i="29"/>
  <c r="Z74" i="29"/>
  <c r="Z200" i="10"/>
  <c r="AH151" i="10"/>
  <c r="N48" i="15"/>
  <c r="AB50" i="22"/>
  <c r="G105" i="34"/>
  <c r="AM46" i="4"/>
  <c r="AM121" i="10"/>
  <c r="Z74" i="11"/>
  <c r="AM60" i="26"/>
  <c r="AM64" i="26"/>
  <c r="K60" i="34"/>
  <c r="AC120" i="10"/>
  <c r="AD44" i="11"/>
  <c r="Z78" i="11"/>
  <c r="AM59" i="8"/>
  <c r="AM63" i="8"/>
  <c r="AM64" i="4"/>
  <c r="AM68" i="4"/>
  <c r="AM71" i="4"/>
  <c r="AM72" i="4"/>
  <c r="AM73" i="4"/>
  <c r="AM74" i="4"/>
  <c r="AM62" i="4"/>
  <c r="AM63" i="4"/>
  <c r="AL62" i="29"/>
  <c r="K103" i="34"/>
  <c r="AK62" i="29"/>
  <c r="AJ71" i="13"/>
  <c r="AJ133" i="10"/>
  <c r="AJ72" i="13"/>
  <c r="AJ73" i="13"/>
  <c r="AJ74" i="13"/>
  <c r="AJ70" i="13"/>
  <c r="AL64" i="8"/>
  <c r="AL63" i="22"/>
  <c r="AL190" i="10"/>
  <c r="AK64" i="9"/>
  <c r="AK126" i="10"/>
  <c r="AL50" i="11"/>
  <c r="AL59" i="9"/>
  <c r="AK66" i="8"/>
  <c r="AK65" i="8"/>
  <c r="AK131" i="10"/>
  <c r="AK67" i="8"/>
  <c r="AJ160" i="10"/>
  <c r="AJ140" i="10"/>
  <c r="AJ152" i="10"/>
  <c r="AJ57" i="11"/>
  <c r="AJ66" i="11"/>
  <c r="AI142" i="10"/>
  <c r="AI154" i="10"/>
  <c r="AI59" i="11"/>
  <c r="AI68" i="11"/>
  <c r="AI162" i="10"/>
  <c r="AL58" i="13"/>
  <c r="AL124" i="10"/>
  <c r="AM48" i="11"/>
  <c r="AM55" i="13"/>
  <c r="AL68" i="13"/>
  <c r="AL180" i="10"/>
  <c r="AL72" i="9"/>
  <c r="AL71" i="9"/>
  <c r="AL77" i="9"/>
  <c r="AK79" i="9"/>
  <c r="AK80" i="9"/>
  <c r="AL62" i="26"/>
  <c r="AL64" i="26"/>
  <c r="AI73" i="13"/>
  <c r="AI74" i="13"/>
  <c r="AK69" i="13"/>
  <c r="AK65" i="22"/>
  <c r="AJ81" i="9"/>
  <c r="AJ67" i="22"/>
  <c r="AI135" i="10"/>
  <c r="AI83" i="9"/>
  <c r="AI84" i="9"/>
  <c r="AI82" i="9"/>
  <c r="AH144" i="10"/>
  <c r="AH156" i="10"/>
  <c r="AH164" i="10"/>
  <c r="AH61" i="11"/>
  <c r="AH70" i="11"/>
  <c r="AM64" i="13"/>
  <c r="AM62" i="13"/>
  <c r="AJ73" i="22"/>
  <c r="AJ192" i="10"/>
  <c r="AM45" i="8"/>
  <c r="AM122" i="10"/>
  <c r="AM52" i="22"/>
  <c r="AM55" i="9"/>
  <c r="AM57" i="9"/>
  <c r="AM70" i="9"/>
  <c r="AI75" i="22"/>
  <c r="AI194" i="10"/>
  <c r="AK71" i="22"/>
  <c r="AM52" i="29"/>
  <c r="AM60" i="29"/>
  <c r="Z216" i="10"/>
  <c r="R7" i="30"/>
  <c r="R13" i="15"/>
  <c r="Z206" i="10"/>
  <c r="Z208" i="10"/>
  <c r="AB71" i="29"/>
  <c r="AB134" i="10"/>
  <c r="AB129" i="10"/>
  <c r="AB70" i="29"/>
  <c r="AB72" i="29"/>
  <c r="AB58" i="11"/>
  <c r="AB161" i="10"/>
  <c r="AB141" i="10"/>
  <c r="AD64" i="22"/>
  <c r="AD72" i="22"/>
  <c r="AD69" i="26"/>
  <c r="AK75" i="4"/>
  <c r="AK77" i="4"/>
  <c r="AK130" i="10"/>
  <c r="AK76" i="4"/>
  <c r="AC71" i="26"/>
  <c r="AC70" i="26"/>
  <c r="AC132" i="10"/>
  <c r="AC72" i="26"/>
  <c r="P40" i="15"/>
  <c r="P20" i="15"/>
  <c r="P41" i="15"/>
  <c r="AC69" i="29"/>
  <c r="AC66" i="22"/>
  <c r="AC193" i="10"/>
  <c r="AB61" i="22"/>
  <c r="AB43" i="22"/>
  <c r="G109" i="34"/>
  <c r="K109" i="34"/>
  <c r="K105" i="34"/>
  <c r="AB41" i="22"/>
  <c r="AA55" i="11"/>
  <c r="AA64" i="11"/>
  <c r="AA136" i="10"/>
  <c r="AA9" i="11"/>
  <c r="AA158" i="10"/>
  <c r="AE58" i="26"/>
  <c r="AE123" i="10"/>
  <c r="AE53" i="22"/>
  <c r="AF55" i="26"/>
  <c r="AE68" i="26"/>
  <c r="J104" i="10"/>
  <c r="Z150" i="10"/>
  <c r="Z168" i="10"/>
  <c r="H111" i="10"/>
  <c r="Z170" i="10"/>
  <c r="H113" i="10"/>
  <c r="Z172" i="10"/>
  <c r="H114" i="10"/>
  <c r="Z167" i="10"/>
  <c r="H110" i="10"/>
  <c r="G97" i="34"/>
  <c r="K92" i="34"/>
  <c r="AC191" i="10"/>
  <c r="P36" i="15"/>
  <c r="P33" i="15"/>
  <c r="P37" i="15"/>
  <c r="AC183" i="10"/>
  <c r="AC178" i="10"/>
  <c r="Q16" i="15"/>
  <c r="Q45" i="15"/>
  <c r="Q18" i="15"/>
  <c r="Q30" i="15"/>
  <c r="Q44" i="15"/>
  <c r="O47" i="15"/>
  <c r="AC7" i="11"/>
  <c r="AA67" i="11"/>
  <c r="AB73" i="26"/>
  <c r="AB74" i="26"/>
  <c r="AJ56" i="11"/>
  <c r="AJ159" i="10"/>
  <c r="AJ139" i="10"/>
  <c r="AD181" i="10"/>
  <c r="AB7" i="11"/>
  <c r="AC44" i="11"/>
  <c r="AC41" i="22"/>
  <c r="AI151" i="10"/>
  <c r="AM179" i="10"/>
  <c r="R28" i="15"/>
  <c r="AE54" i="29"/>
  <c r="AD55" i="22"/>
  <c r="AD50" i="22"/>
  <c r="AD68" i="29"/>
  <c r="AD57" i="29"/>
  <c r="AD125" i="10"/>
  <c r="AE49" i="11"/>
  <c r="AA143" i="10"/>
  <c r="AA163" i="10"/>
  <c r="AA60" i="11"/>
  <c r="AA69" i="11"/>
  <c r="AB74" i="22"/>
  <c r="O48" i="15"/>
  <c r="AL62" i="22"/>
  <c r="AL74" i="4"/>
  <c r="AA153" i="10"/>
  <c r="AA138" i="10"/>
  <c r="AA169" i="10"/>
  <c r="AA43" i="22"/>
  <c r="AA69" i="22"/>
  <c r="AE47" i="11"/>
  <c r="AK189" i="10"/>
  <c r="AK70" i="22"/>
  <c r="Z202" i="10"/>
  <c r="Y210" i="10"/>
  <c r="AI73" i="11"/>
  <c r="AI65" i="11"/>
  <c r="AI77" i="11"/>
  <c r="Z155" i="10"/>
  <c r="G115" i="10"/>
  <c r="Z171" i="10"/>
  <c r="H115" i="10"/>
  <c r="F234" i="10"/>
  <c r="H234" i="10"/>
  <c r="AA73" i="29"/>
  <c r="AA74" i="29"/>
  <c r="AA200" i="10"/>
  <c r="Y218" i="10"/>
  <c r="Y222" i="10"/>
  <c r="Q9" i="30"/>
  <c r="Y220" i="10"/>
  <c r="AB188" i="10"/>
  <c r="AM62" i="26"/>
  <c r="AM62" i="22"/>
  <c r="AM189" i="10"/>
  <c r="P48" i="15"/>
  <c r="AL71" i="22"/>
  <c r="AD120" i="10"/>
  <c r="AE44" i="11"/>
  <c r="AC188" i="10"/>
  <c r="AL79" i="9"/>
  <c r="AL80" i="9"/>
  <c r="AL67" i="22"/>
  <c r="AC74" i="22"/>
  <c r="AC61" i="22"/>
  <c r="P47" i="15"/>
  <c r="AK67" i="22"/>
  <c r="AK81" i="9"/>
  <c r="AM180" i="10"/>
  <c r="AK73" i="22"/>
  <c r="AK192" i="10"/>
  <c r="AM58" i="13"/>
  <c r="AM124" i="10"/>
  <c r="AM68" i="13"/>
  <c r="AK68" i="8"/>
  <c r="AK69" i="8"/>
  <c r="AM59" i="9"/>
  <c r="AL64" i="9"/>
  <c r="AL126" i="10"/>
  <c r="AM50" i="11"/>
  <c r="AL131" i="10"/>
  <c r="AL66" i="8"/>
  <c r="AL65" i="8"/>
  <c r="AL67" i="8"/>
  <c r="AL68" i="8"/>
  <c r="AL69" i="8"/>
  <c r="AM63" i="22"/>
  <c r="AM190" i="10"/>
  <c r="AM64" i="8"/>
  <c r="AJ135" i="10"/>
  <c r="AJ84" i="9"/>
  <c r="AJ82" i="9"/>
  <c r="AJ83" i="9"/>
  <c r="AL81" i="9"/>
  <c r="AL65" i="22"/>
  <c r="AL69" i="13"/>
  <c r="AJ162" i="10"/>
  <c r="AJ142" i="10"/>
  <c r="AJ154" i="10"/>
  <c r="AJ59" i="11"/>
  <c r="AJ68" i="11"/>
  <c r="AM64" i="29"/>
  <c r="AM62" i="29"/>
  <c r="AJ75" i="22"/>
  <c r="AJ194" i="10"/>
  <c r="AM71" i="9"/>
  <c r="AM77" i="9"/>
  <c r="AM72" i="9"/>
  <c r="AI164" i="10"/>
  <c r="AI144" i="10"/>
  <c r="AI156" i="10"/>
  <c r="AI61" i="11"/>
  <c r="AI70" i="11"/>
  <c r="AK133" i="10"/>
  <c r="AK71" i="13"/>
  <c r="AK72" i="13"/>
  <c r="AK73" i="13"/>
  <c r="AK74" i="13"/>
  <c r="AK70" i="13"/>
  <c r="AK57" i="11"/>
  <c r="AK66" i="11"/>
  <c r="AK160" i="10"/>
  <c r="AK140" i="10"/>
  <c r="AK152" i="10"/>
  <c r="H237" i="10"/>
  <c r="H236" i="10"/>
  <c r="AA216" i="10"/>
  <c r="S7" i="30"/>
  <c r="S13" i="15"/>
  <c r="AA206" i="10"/>
  <c r="AA208" i="10"/>
  <c r="AB55" i="11"/>
  <c r="AB64" i="11"/>
  <c r="AB136" i="10"/>
  <c r="AB9" i="11"/>
  <c r="AB158" i="10"/>
  <c r="Z210" i="10"/>
  <c r="AA202" i="10"/>
  <c r="AD183" i="10"/>
  <c r="G121" i="34"/>
  <c r="G123" i="34"/>
  <c r="G125" i="34"/>
  <c r="G127" i="34"/>
  <c r="G131" i="34"/>
  <c r="G133" i="34"/>
  <c r="K97" i="34"/>
  <c r="AF47" i="11"/>
  <c r="AB73" i="29"/>
  <c r="AB74" i="29"/>
  <c r="AB200" i="10"/>
  <c r="Z218" i="10"/>
  <c r="Z222" i="10"/>
  <c r="R9" i="30"/>
  <c r="Z220" i="10"/>
  <c r="F236" i="10"/>
  <c r="AA78" i="11"/>
  <c r="AD69" i="29"/>
  <c r="AD66" i="22"/>
  <c r="AD193" i="10"/>
  <c r="AJ73" i="11"/>
  <c r="AJ65" i="11"/>
  <c r="AJ77" i="11"/>
  <c r="Q33" i="15"/>
  <c r="Q37" i="15"/>
  <c r="Q36" i="15"/>
  <c r="H104" i="10"/>
  <c r="G116" i="10"/>
  <c r="AE181" i="10"/>
  <c r="AC71" i="29"/>
  <c r="AC134" i="10"/>
  <c r="AC129" i="10"/>
  <c r="AC72" i="29"/>
  <c r="AC70" i="29"/>
  <c r="AC141" i="10"/>
  <c r="AC161" i="10"/>
  <c r="AC58" i="11"/>
  <c r="AK139" i="10"/>
  <c r="AK159" i="10"/>
  <c r="AK56" i="11"/>
  <c r="AD191" i="10"/>
  <c r="AB67" i="11"/>
  <c r="H116" i="10"/>
  <c r="AM75" i="4"/>
  <c r="AM77" i="4"/>
  <c r="AM76" i="4"/>
  <c r="AM130" i="10"/>
  <c r="AA150" i="10"/>
  <c r="AA168" i="10"/>
  <c r="AA172" i="10"/>
  <c r="AA170" i="10"/>
  <c r="AA167" i="10"/>
  <c r="AL189" i="10"/>
  <c r="AL70" i="22"/>
  <c r="S28" i="15"/>
  <c r="Q20" i="15"/>
  <c r="Q41" i="15"/>
  <c r="Q40" i="15"/>
  <c r="AF58" i="26"/>
  <c r="AF123" i="10"/>
  <c r="AF53" i="22"/>
  <c r="AG55" i="26"/>
  <c r="AF68" i="26"/>
  <c r="AC73" i="26"/>
  <c r="AC74" i="26"/>
  <c r="AD132" i="10"/>
  <c r="AD71" i="26"/>
  <c r="AD70" i="26"/>
  <c r="AD72" i="26"/>
  <c r="AB143" i="10"/>
  <c r="AB138" i="10"/>
  <c r="AB163" i="10"/>
  <c r="AB60" i="11"/>
  <c r="AB69" i="11"/>
  <c r="R18" i="15"/>
  <c r="R30" i="15"/>
  <c r="R16" i="15"/>
  <c r="R45" i="15"/>
  <c r="R44" i="15"/>
  <c r="AD178" i="10"/>
  <c r="AD7" i="11"/>
  <c r="AL76" i="4"/>
  <c r="AL130" i="10"/>
  <c r="AL75" i="4"/>
  <c r="AL77" i="4"/>
  <c r="AA155" i="10"/>
  <c r="AA171" i="10"/>
  <c r="AE55" i="22"/>
  <c r="AE68" i="29"/>
  <c r="AF54" i="29"/>
  <c r="AE57" i="29"/>
  <c r="AE125" i="10"/>
  <c r="AF49" i="11"/>
  <c r="AD41" i="22"/>
  <c r="AJ151" i="10"/>
  <c r="AE64" i="22"/>
  <c r="AE69" i="26"/>
  <c r="AB153" i="10"/>
  <c r="F237" i="10"/>
  <c r="AA74" i="11"/>
  <c r="AB69" i="22"/>
  <c r="AM70" i="22"/>
  <c r="AD61" i="22"/>
  <c r="AD43" i="22"/>
  <c r="AD188" i="10"/>
  <c r="AC43" i="22"/>
  <c r="AC69" i="22"/>
  <c r="AM79" i="9"/>
  <c r="AM80" i="9"/>
  <c r="AL192" i="10"/>
  <c r="AL73" i="22"/>
  <c r="AL140" i="10"/>
  <c r="AL152" i="10"/>
  <c r="AL57" i="11"/>
  <c r="AL66" i="11"/>
  <c r="AL160" i="10"/>
  <c r="AK194" i="10"/>
  <c r="AK75" i="22"/>
  <c r="AL71" i="13"/>
  <c r="AL133" i="10"/>
  <c r="AL72" i="13"/>
  <c r="AL70" i="13"/>
  <c r="AM131" i="10"/>
  <c r="AM67" i="8"/>
  <c r="AM68" i="8"/>
  <c r="AM69" i="8"/>
  <c r="AM65" i="8"/>
  <c r="AM66" i="8"/>
  <c r="AK82" i="9"/>
  <c r="AK83" i="9"/>
  <c r="AK84" i="9"/>
  <c r="AK135" i="10"/>
  <c r="AK142" i="10"/>
  <c r="AK154" i="10"/>
  <c r="AK59" i="11"/>
  <c r="AK68" i="11"/>
  <c r="AK162" i="10"/>
  <c r="AL83" i="9"/>
  <c r="AL84" i="9"/>
  <c r="AL135" i="10"/>
  <c r="AL82" i="9"/>
  <c r="AJ144" i="10"/>
  <c r="AJ156" i="10"/>
  <c r="AJ61" i="11"/>
  <c r="AJ70" i="11"/>
  <c r="AJ164" i="10"/>
  <c r="AM64" i="9"/>
  <c r="AM126" i="10"/>
  <c r="AL75" i="22"/>
  <c r="AL194" i="10"/>
  <c r="AM65" i="22"/>
  <c r="AM69" i="13"/>
  <c r="AM71" i="22"/>
  <c r="R33" i="15"/>
  <c r="R37" i="15"/>
  <c r="R36" i="15"/>
  <c r="AB150" i="10"/>
  <c r="AB168" i="10"/>
  <c r="AB170" i="10"/>
  <c r="AB172" i="10"/>
  <c r="AB167" i="10"/>
  <c r="AE191" i="10"/>
  <c r="AE183" i="10"/>
  <c r="AE178" i="10"/>
  <c r="AD73" i="26"/>
  <c r="AD74" i="26"/>
  <c r="AF181" i="10"/>
  <c r="AC67" i="11"/>
  <c r="AC73" i="29"/>
  <c r="AC74" i="29"/>
  <c r="AC200" i="10"/>
  <c r="S16" i="15"/>
  <c r="S45" i="15"/>
  <c r="S18" i="15"/>
  <c r="S30" i="15"/>
  <c r="S44" i="15"/>
  <c r="AB74" i="11"/>
  <c r="AE72" i="22"/>
  <c r="Q47" i="15"/>
  <c r="AE120" i="10"/>
  <c r="AD74" i="22"/>
  <c r="G237" i="10"/>
  <c r="AE69" i="29"/>
  <c r="AE66" i="22"/>
  <c r="AE193" i="10"/>
  <c r="R20" i="15"/>
  <c r="R41" i="15"/>
  <c r="R40" i="15"/>
  <c r="AB171" i="10"/>
  <c r="AB155" i="10"/>
  <c r="AD58" i="11"/>
  <c r="AD141" i="10"/>
  <c r="AD161" i="10"/>
  <c r="AG53" i="22"/>
  <c r="AH55" i="26"/>
  <c r="AG68" i="26"/>
  <c r="AG58" i="26"/>
  <c r="AG123" i="10"/>
  <c r="T28" i="15"/>
  <c r="AK73" i="11"/>
  <c r="AK65" i="11"/>
  <c r="AK77" i="11"/>
  <c r="AC55" i="11"/>
  <c r="AC64" i="11"/>
  <c r="AC9" i="11"/>
  <c r="AC158" i="10"/>
  <c r="AC136" i="10"/>
  <c r="K133" i="34"/>
  <c r="G135" i="34"/>
  <c r="AB78" i="11"/>
  <c r="AE50" i="22"/>
  <c r="G236" i="10"/>
  <c r="AB216" i="10"/>
  <c r="T7" i="30"/>
  <c r="T13" i="15"/>
  <c r="AB206" i="10"/>
  <c r="AB208" i="10"/>
  <c r="AE71" i="26"/>
  <c r="AE70" i="26"/>
  <c r="AE72" i="26"/>
  <c r="AE132" i="10"/>
  <c r="AG54" i="29"/>
  <c r="AF55" i="22"/>
  <c r="AF50" i="22"/>
  <c r="AF68" i="29"/>
  <c r="AF57" i="29"/>
  <c r="AF125" i="10"/>
  <c r="AG49" i="11"/>
  <c r="AF64" i="22"/>
  <c r="AF69" i="26"/>
  <c r="AK151" i="10"/>
  <c r="AC153" i="10"/>
  <c r="AA210" i="10"/>
  <c r="AB202" i="10"/>
  <c r="AA218" i="10"/>
  <c r="AA222" i="10"/>
  <c r="S9" i="30"/>
  <c r="AA220" i="10"/>
  <c r="AL139" i="10"/>
  <c r="AL159" i="10"/>
  <c r="AL56" i="11"/>
  <c r="AG47" i="11"/>
  <c r="AM56" i="11"/>
  <c r="AM139" i="10"/>
  <c r="AM159" i="10"/>
  <c r="AC60" i="11"/>
  <c r="AC69" i="11"/>
  <c r="AC143" i="10"/>
  <c r="AC138" i="10"/>
  <c r="AC163" i="10"/>
  <c r="AD134" i="10"/>
  <c r="AD71" i="29"/>
  <c r="AD70" i="29"/>
  <c r="AD72" i="29"/>
  <c r="AB169" i="10"/>
  <c r="Q48" i="15"/>
  <c r="AD69" i="22"/>
  <c r="AF120" i="10"/>
  <c r="AF7" i="11"/>
  <c r="AL144" i="10"/>
  <c r="AL156" i="10"/>
  <c r="AL164" i="10"/>
  <c r="AL61" i="11"/>
  <c r="AL70" i="11"/>
  <c r="AL59" i="11"/>
  <c r="AL68" i="11"/>
  <c r="AL162" i="10"/>
  <c r="AL142" i="10"/>
  <c r="AL154" i="10"/>
  <c r="AM73" i="22"/>
  <c r="AM192" i="10"/>
  <c r="AM81" i="9"/>
  <c r="AM67" i="22"/>
  <c r="AL73" i="13"/>
  <c r="AL74" i="13"/>
  <c r="AM70" i="13"/>
  <c r="AM133" i="10"/>
  <c r="AM71" i="13"/>
  <c r="AM72" i="13"/>
  <c r="AK164" i="10"/>
  <c r="AK61" i="11"/>
  <c r="AK70" i="11"/>
  <c r="AK144" i="10"/>
  <c r="AK156" i="10"/>
  <c r="AM160" i="10"/>
  <c r="AM140" i="10"/>
  <c r="AM152" i="10"/>
  <c r="AM57" i="11"/>
  <c r="AM66" i="11"/>
  <c r="AF41" i="22"/>
  <c r="AC216" i="10"/>
  <c r="U13" i="15"/>
  <c r="U7" i="30"/>
  <c r="AC206" i="10"/>
  <c r="AC208" i="10"/>
  <c r="AC150" i="10"/>
  <c r="AC168" i="10"/>
  <c r="AC172" i="10"/>
  <c r="AC170" i="10"/>
  <c r="AC167" i="10"/>
  <c r="AE141" i="10"/>
  <c r="AE58" i="11"/>
  <c r="AE161" i="10"/>
  <c r="U28" i="15"/>
  <c r="AG181" i="10"/>
  <c r="AD67" i="11"/>
  <c r="S36" i="15"/>
  <c r="S33" i="15"/>
  <c r="S37" i="15"/>
  <c r="AC78" i="11"/>
  <c r="AE188" i="10"/>
  <c r="R48" i="15"/>
  <c r="AL73" i="11"/>
  <c r="AL65" i="11"/>
  <c r="AL77" i="11"/>
  <c r="AF191" i="10"/>
  <c r="AG68" i="29"/>
  <c r="AG55" i="22"/>
  <c r="AH54" i="29"/>
  <c r="AG57" i="29"/>
  <c r="AG125" i="10"/>
  <c r="AH49" i="11"/>
  <c r="AB220" i="10"/>
  <c r="AB218" i="10"/>
  <c r="AB222" i="10"/>
  <c r="T9" i="30"/>
  <c r="F137" i="34"/>
  <c r="K135" i="34"/>
  <c r="AH68" i="26"/>
  <c r="AH53" i="22"/>
  <c r="AH58" i="26"/>
  <c r="AH123" i="10"/>
  <c r="AI55" i="26"/>
  <c r="AD153" i="10"/>
  <c r="S20" i="15"/>
  <c r="S41" i="15"/>
  <c r="S40" i="15"/>
  <c r="AE61" i="22"/>
  <c r="AE43" i="22"/>
  <c r="R47" i="15"/>
  <c r="AD143" i="10"/>
  <c r="AD138" i="10"/>
  <c r="AD60" i="11"/>
  <c r="AD69" i="11"/>
  <c r="AD163" i="10"/>
  <c r="AM73" i="11"/>
  <c r="AM65" i="11"/>
  <c r="AM77" i="11"/>
  <c r="AC155" i="10"/>
  <c r="AC171" i="10"/>
  <c r="AM151" i="10"/>
  <c r="AC202" i="10"/>
  <c r="AB210" i="10"/>
  <c r="AF72" i="26"/>
  <c r="AF71" i="26"/>
  <c r="AF70" i="26"/>
  <c r="AF132" i="10"/>
  <c r="AF183" i="10"/>
  <c r="AF178" i="10"/>
  <c r="AG69" i="26"/>
  <c r="AG64" i="22"/>
  <c r="AG72" i="22"/>
  <c r="AE134" i="10"/>
  <c r="AE129" i="10"/>
  <c r="AE72" i="29"/>
  <c r="AE70" i="29"/>
  <c r="AE71" i="29"/>
  <c r="AF72" i="22"/>
  <c r="AE74" i="22"/>
  <c r="AD73" i="29"/>
  <c r="AD74" i="29"/>
  <c r="AD200" i="10"/>
  <c r="AL151" i="10"/>
  <c r="AF69" i="29"/>
  <c r="AF66" i="22"/>
  <c r="AF193" i="10"/>
  <c r="AE73" i="26"/>
  <c r="AE74" i="26"/>
  <c r="T16" i="15"/>
  <c r="T45" i="15"/>
  <c r="T44" i="15"/>
  <c r="T18" i="15"/>
  <c r="AE41" i="22"/>
  <c r="AH47" i="11"/>
  <c r="AF44" i="11"/>
  <c r="AE7" i="11"/>
  <c r="AC169" i="10"/>
  <c r="AD129" i="10"/>
  <c r="AC74" i="11"/>
  <c r="AG120" i="10"/>
  <c r="AH44" i="11"/>
  <c r="AE69" i="22"/>
  <c r="AG44" i="11"/>
  <c r="AM82" i="9"/>
  <c r="AM135" i="10"/>
  <c r="AM83" i="9"/>
  <c r="AM84" i="9"/>
  <c r="AM142" i="10"/>
  <c r="AM154" i="10"/>
  <c r="AM162" i="10"/>
  <c r="AM59" i="11"/>
  <c r="AM68" i="11"/>
  <c r="AM75" i="22"/>
  <c r="AM194" i="10"/>
  <c r="AM73" i="13"/>
  <c r="AM74" i="13"/>
  <c r="AE55" i="11"/>
  <c r="AE64" i="11"/>
  <c r="AE158" i="10"/>
  <c r="AE136" i="10"/>
  <c r="AE9" i="11"/>
  <c r="AD216" i="10"/>
  <c r="V13" i="15"/>
  <c r="V7" i="30"/>
  <c r="AD206" i="10"/>
  <c r="AD208" i="10"/>
  <c r="AD150" i="10"/>
  <c r="AD168" i="10"/>
  <c r="AD172" i="10"/>
  <c r="AD170" i="10"/>
  <c r="AD167" i="10"/>
  <c r="AD169" i="10"/>
  <c r="AE73" i="29"/>
  <c r="AE74" i="29"/>
  <c r="AE200" i="10"/>
  <c r="AH64" i="22"/>
  <c r="AH69" i="26"/>
  <c r="AG69" i="29"/>
  <c r="AG66" i="22"/>
  <c r="AG193" i="10"/>
  <c r="AD78" i="11"/>
  <c r="T20" i="15"/>
  <c r="T41" i="15"/>
  <c r="T40" i="15"/>
  <c r="AG132" i="10"/>
  <c r="AG70" i="26"/>
  <c r="AG71" i="26"/>
  <c r="AG72" i="26"/>
  <c r="AC210" i="10"/>
  <c r="AD202" i="10"/>
  <c r="AH181" i="10"/>
  <c r="AG183" i="10"/>
  <c r="AG178" i="10"/>
  <c r="S47" i="15"/>
  <c r="AD55" i="11"/>
  <c r="AD64" i="11"/>
  <c r="AD158" i="10"/>
  <c r="AD9" i="11"/>
  <c r="AD136" i="10"/>
  <c r="AF72" i="29"/>
  <c r="AF70" i="29"/>
  <c r="AF71" i="29"/>
  <c r="AF134" i="10"/>
  <c r="AG191" i="10"/>
  <c r="AG61" i="22"/>
  <c r="AG43" i="22"/>
  <c r="AF141" i="10"/>
  <c r="AF161" i="10"/>
  <c r="AF58" i="11"/>
  <c r="AI47" i="11"/>
  <c r="AI54" i="29"/>
  <c r="AH55" i="22"/>
  <c r="AH50" i="22"/>
  <c r="AH68" i="29"/>
  <c r="AH57" i="29"/>
  <c r="AH125" i="10"/>
  <c r="AI49" i="11"/>
  <c r="AE153" i="10"/>
  <c r="AC218" i="10"/>
  <c r="AC222" i="10"/>
  <c r="U9" i="30"/>
  <c r="AC220" i="10"/>
  <c r="AF188" i="10"/>
  <c r="S48" i="15"/>
  <c r="AG50" i="22"/>
  <c r="AE60" i="11"/>
  <c r="AE69" i="11"/>
  <c r="AE143" i="10"/>
  <c r="AE163" i="10"/>
  <c r="AF73" i="26"/>
  <c r="AF74" i="26"/>
  <c r="AD171" i="10"/>
  <c r="AD155" i="10"/>
  <c r="AJ55" i="26"/>
  <c r="AI68" i="26"/>
  <c r="AI58" i="26"/>
  <c r="AI123" i="10"/>
  <c r="AI53" i="22"/>
  <c r="V28" i="15"/>
  <c r="AE67" i="11"/>
  <c r="U44" i="15"/>
  <c r="U18" i="15"/>
  <c r="U16" i="15"/>
  <c r="U45" i="15"/>
  <c r="T30" i="15"/>
  <c r="AF74" i="22"/>
  <c r="AF61" i="22"/>
  <c r="AD74" i="11"/>
  <c r="AG7" i="11"/>
  <c r="AG188" i="10"/>
  <c r="AE74" i="11"/>
  <c r="AM164" i="10"/>
  <c r="AM144" i="10"/>
  <c r="AM156" i="10"/>
  <c r="AM61" i="11"/>
  <c r="AM70" i="11"/>
  <c r="AE78" i="11"/>
  <c r="AH41" i="22"/>
  <c r="W13" i="15"/>
  <c r="AE216" i="10"/>
  <c r="W7" i="30"/>
  <c r="AE206" i="10"/>
  <c r="AE208" i="10"/>
  <c r="U20" i="15"/>
  <c r="U41" i="15"/>
  <c r="U40" i="15"/>
  <c r="AJ47" i="11"/>
  <c r="AE155" i="10"/>
  <c r="AH69" i="29"/>
  <c r="AH66" i="22"/>
  <c r="AH193" i="10"/>
  <c r="AF153" i="10"/>
  <c r="AG73" i="26"/>
  <c r="AG74" i="26"/>
  <c r="AE138" i="10"/>
  <c r="AI181" i="10"/>
  <c r="AF60" i="11"/>
  <c r="AF69" i="11"/>
  <c r="AF143" i="10"/>
  <c r="AF138" i="10"/>
  <c r="AF163" i="10"/>
  <c r="AG161" i="10"/>
  <c r="AG141" i="10"/>
  <c r="AG58" i="11"/>
  <c r="AH191" i="10"/>
  <c r="AH61" i="22"/>
  <c r="AH43" i="22"/>
  <c r="AD218" i="10"/>
  <c r="AD222" i="10"/>
  <c r="V9" i="30"/>
  <c r="AD220" i="10"/>
  <c r="AH120" i="10"/>
  <c r="T36" i="15"/>
  <c r="T47" i="15"/>
  <c r="T33" i="15"/>
  <c r="T37" i="15"/>
  <c r="T48" i="15"/>
  <c r="W28" i="15"/>
  <c r="AG69" i="22"/>
  <c r="AG41" i="22"/>
  <c r="AJ54" i="29"/>
  <c r="AI55" i="22"/>
  <c r="AI50" i="22"/>
  <c r="AI68" i="29"/>
  <c r="AI57" i="29"/>
  <c r="AI125" i="10"/>
  <c r="AJ49" i="11"/>
  <c r="AF74" i="11"/>
  <c r="AF67" i="11"/>
  <c r="AF73" i="29"/>
  <c r="AF74" i="29"/>
  <c r="AF200" i="10"/>
  <c r="AD210" i="10"/>
  <c r="AE202" i="10"/>
  <c r="AH132" i="10"/>
  <c r="AH72" i="26"/>
  <c r="AH71" i="26"/>
  <c r="AH70" i="26"/>
  <c r="V18" i="15"/>
  <c r="V30" i="15"/>
  <c r="V16" i="15"/>
  <c r="V45" i="15"/>
  <c r="V44" i="15"/>
  <c r="AF43" i="22"/>
  <c r="AF69" i="22"/>
  <c r="AK55" i="26"/>
  <c r="AJ53" i="22"/>
  <c r="AJ58" i="26"/>
  <c r="AJ123" i="10"/>
  <c r="AJ68" i="26"/>
  <c r="AI64" i="22"/>
  <c r="AI69" i="26"/>
  <c r="AH183" i="10"/>
  <c r="AH178" i="10"/>
  <c r="AG72" i="29"/>
  <c r="AG71" i="29"/>
  <c r="AG134" i="10"/>
  <c r="AG129" i="10"/>
  <c r="AG70" i="29"/>
  <c r="U30" i="15"/>
  <c r="AF129" i="10"/>
  <c r="AG74" i="22"/>
  <c r="AH72" i="22"/>
  <c r="AH74" i="22"/>
  <c r="AF78" i="11"/>
  <c r="AH188" i="10"/>
  <c r="AI41" i="22"/>
  <c r="AF150" i="10"/>
  <c r="AF168" i="10"/>
  <c r="AF170" i="10"/>
  <c r="AF172" i="10"/>
  <c r="AF167" i="10"/>
  <c r="AF169" i="10"/>
  <c r="X13" i="15"/>
  <c r="X7" i="30"/>
  <c r="AF216" i="10"/>
  <c r="AF206" i="10"/>
  <c r="AF208" i="10"/>
  <c r="AG55" i="11"/>
  <c r="AG64" i="11"/>
  <c r="AG9" i="11"/>
  <c r="AG158" i="10"/>
  <c r="AG136" i="10"/>
  <c r="AF55" i="11"/>
  <c r="AF64" i="11"/>
  <c r="AF9" i="11"/>
  <c r="AF136" i="10"/>
  <c r="AF158" i="10"/>
  <c r="AI71" i="26"/>
  <c r="AI70" i="26"/>
  <c r="AI72" i="26"/>
  <c r="AI132" i="10"/>
  <c r="AJ181" i="10"/>
  <c r="AH73" i="26"/>
  <c r="AH74" i="26"/>
  <c r="AE150" i="10"/>
  <c r="AE168" i="10"/>
  <c r="AE170" i="10"/>
  <c r="AE172" i="10"/>
  <c r="AE167" i="10"/>
  <c r="AE169" i="10"/>
  <c r="AE171" i="10"/>
  <c r="AK47" i="11"/>
  <c r="AJ55" i="22"/>
  <c r="AJ68" i="29"/>
  <c r="AK54" i="29"/>
  <c r="AJ57" i="29"/>
  <c r="AJ125" i="10"/>
  <c r="AK49" i="11"/>
  <c r="X28" i="15"/>
  <c r="AH71" i="29"/>
  <c r="AH70" i="29"/>
  <c r="AH134" i="10"/>
  <c r="AH72" i="29"/>
  <c r="AH69" i="22"/>
  <c r="AG60" i="11"/>
  <c r="AG69" i="11"/>
  <c r="AG143" i="10"/>
  <c r="AG138" i="10"/>
  <c r="AG163" i="10"/>
  <c r="AJ69" i="26"/>
  <c r="AJ64" i="22"/>
  <c r="V36" i="15"/>
  <c r="AF202" i="10"/>
  <c r="AE210" i="10"/>
  <c r="AI183" i="10"/>
  <c r="AI178" i="10"/>
  <c r="AH7" i="11"/>
  <c r="AI44" i="11"/>
  <c r="AG153" i="10"/>
  <c r="W18" i="15"/>
  <c r="W30" i="15"/>
  <c r="W44" i="15"/>
  <c r="W16" i="15"/>
  <c r="W45" i="15"/>
  <c r="AI120" i="10"/>
  <c r="U36" i="15"/>
  <c r="U47" i="15"/>
  <c r="U33" i="15"/>
  <c r="U37" i="15"/>
  <c r="U48" i="15"/>
  <c r="AG73" i="29"/>
  <c r="AG74" i="29"/>
  <c r="AG200" i="10"/>
  <c r="AI191" i="10"/>
  <c r="AK68" i="26"/>
  <c r="AK53" i="22"/>
  <c r="AK58" i="26"/>
  <c r="AK123" i="10"/>
  <c r="AL55" i="26"/>
  <c r="V20" i="15"/>
  <c r="V41" i="15"/>
  <c r="V40" i="15"/>
  <c r="AH161" i="10"/>
  <c r="AH58" i="11"/>
  <c r="AH141" i="10"/>
  <c r="AH129" i="10"/>
  <c r="AI69" i="29"/>
  <c r="AI66" i="22"/>
  <c r="AI193" i="10"/>
  <c r="AG74" i="11"/>
  <c r="AG67" i="11"/>
  <c r="AF155" i="10"/>
  <c r="AF171" i="10"/>
  <c r="AE218" i="10"/>
  <c r="AE222" i="10"/>
  <c r="W9" i="30"/>
  <c r="AE220" i="10"/>
  <c r="AI72" i="22"/>
  <c r="AG78" i="11"/>
  <c r="V33" i="15"/>
  <c r="V37" i="15"/>
  <c r="V48" i="15"/>
  <c r="AI188" i="10"/>
  <c r="W36" i="15"/>
  <c r="AG150" i="10"/>
  <c r="AG168" i="10"/>
  <c r="AG172" i="10"/>
  <c r="AG170" i="10"/>
  <c r="AG167" i="10"/>
  <c r="AG169" i="10"/>
  <c r="AG216" i="10"/>
  <c r="Y7" i="30"/>
  <c r="Y13" i="15"/>
  <c r="AG206" i="10"/>
  <c r="AG208" i="10"/>
  <c r="AH67" i="11"/>
  <c r="AL68" i="26"/>
  <c r="AL53" i="22"/>
  <c r="AL58" i="26"/>
  <c r="AL123" i="10"/>
  <c r="AM55" i="26"/>
  <c r="AF210" i="10"/>
  <c r="AG202" i="10"/>
  <c r="AJ72" i="26"/>
  <c r="AJ132" i="10"/>
  <c r="AJ70" i="26"/>
  <c r="AJ71" i="26"/>
  <c r="AI58" i="11"/>
  <c r="AI141" i="10"/>
  <c r="AI161" i="10"/>
  <c r="AI61" i="22"/>
  <c r="AJ120" i="10"/>
  <c r="AK69" i="26"/>
  <c r="AK64" i="22"/>
  <c r="W40" i="15"/>
  <c r="W20" i="15"/>
  <c r="W41" i="15"/>
  <c r="AJ191" i="10"/>
  <c r="AH143" i="10"/>
  <c r="AH138" i="10"/>
  <c r="AH60" i="11"/>
  <c r="AH69" i="11"/>
  <c r="AH163" i="10"/>
  <c r="AJ183" i="10"/>
  <c r="AJ178" i="10"/>
  <c r="X44" i="15"/>
  <c r="X16" i="15"/>
  <c r="X45" i="15"/>
  <c r="X18" i="15"/>
  <c r="AH153" i="10"/>
  <c r="AH55" i="11"/>
  <c r="AH64" i="11"/>
  <c r="AH158" i="10"/>
  <c r="AH136" i="10"/>
  <c r="AH9" i="11"/>
  <c r="AK72" i="22"/>
  <c r="AK181" i="10"/>
  <c r="AI7" i="11"/>
  <c r="AJ44" i="11"/>
  <c r="AG171" i="10"/>
  <c r="AG155" i="10"/>
  <c r="AH73" i="29"/>
  <c r="AH74" i="29"/>
  <c r="AH200" i="10"/>
  <c r="Y28" i="15"/>
  <c r="AJ69" i="29"/>
  <c r="AJ66" i="22"/>
  <c r="AJ193" i="10"/>
  <c r="V47" i="15"/>
  <c r="AJ72" i="22"/>
  <c r="AI134" i="10"/>
  <c r="AI71" i="29"/>
  <c r="AI72" i="29"/>
  <c r="AI70" i="29"/>
  <c r="AL47" i="11"/>
  <c r="AL54" i="29"/>
  <c r="AK68" i="29"/>
  <c r="AK55" i="22"/>
  <c r="AK57" i="29"/>
  <c r="AK125" i="10"/>
  <c r="AL49" i="11"/>
  <c r="AI73" i="26"/>
  <c r="AI74" i="26"/>
  <c r="AF218" i="10"/>
  <c r="AF222" i="10"/>
  <c r="X9" i="30"/>
  <c r="AF220" i="10"/>
  <c r="AI74" i="22"/>
  <c r="AJ50" i="22"/>
  <c r="W33" i="15"/>
  <c r="W37" i="15"/>
  <c r="W48" i="15"/>
  <c r="AH216" i="10"/>
  <c r="Z7" i="30"/>
  <c r="Z13" i="15"/>
  <c r="AH206" i="10"/>
  <c r="AH208" i="10"/>
  <c r="AK183" i="10"/>
  <c r="AK178" i="10"/>
  <c r="AI163" i="10"/>
  <c r="AI143" i="10"/>
  <c r="AI60" i="11"/>
  <c r="AI69" i="11"/>
  <c r="AJ134" i="10"/>
  <c r="AJ129" i="10"/>
  <c r="AJ70" i="29"/>
  <c r="AJ71" i="29"/>
  <c r="AJ72" i="29"/>
  <c r="AH150" i="10"/>
  <c r="AH168" i="10"/>
  <c r="AH170" i="10"/>
  <c r="AH172" i="10"/>
  <c r="AH167" i="10"/>
  <c r="AJ7" i="11"/>
  <c r="AK44" i="11"/>
  <c r="AL64" i="22"/>
  <c r="AL69" i="26"/>
  <c r="AK132" i="10"/>
  <c r="AK70" i="26"/>
  <c r="AK72" i="26"/>
  <c r="AK71" i="26"/>
  <c r="AH202" i="10"/>
  <c r="AG210" i="10"/>
  <c r="AL181" i="10"/>
  <c r="AG218" i="10"/>
  <c r="AG222" i="10"/>
  <c r="Y9" i="30"/>
  <c r="AG220" i="10"/>
  <c r="AK120" i="10"/>
  <c r="AJ188" i="10"/>
  <c r="AI129" i="10"/>
  <c r="W47" i="15"/>
  <c r="AM54" i="29"/>
  <c r="AL55" i="22"/>
  <c r="AL68" i="29"/>
  <c r="AL57" i="29"/>
  <c r="AL125" i="10"/>
  <c r="AM49" i="11"/>
  <c r="AI73" i="29"/>
  <c r="AI74" i="29"/>
  <c r="AI200" i="10"/>
  <c r="Z28" i="15"/>
  <c r="X20" i="15"/>
  <c r="X41" i="15"/>
  <c r="X40" i="15"/>
  <c r="AK191" i="10"/>
  <c r="AI43" i="22"/>
  <c r="AI69" i="22"/>
  <c r="AI67" i="11"/>
  <c r="AJ73" i="26"/>
  <c r="AJ74" i="26"/>
  <c r="AM47" i="11"/>
  <c r="AJ61" i="22"/>
  <c r="AJ43" i="22"/>
  <c r="AH74" i="11"/>
  <c r="AJ41" i="22"/>
  <c r="AK69" i="29"/>
  <c r="AK66" i="22"/>
  <c r="AK193" i="10"/>
  <c r="AH171" i="10"/>
  <c r="AH155" i="10"/>
  <c r="AI153" i="10"/>
  <c r="AI138" i="10"/>
  <c r="AI169" i="10"/>
  <c r="AJ161" i="10"/>
  <c r="AJ141" i="10"/>
  <c r="AJ58" i="11"/>
  <c r="AM68" i="26"/>
  <c r="AM53" i="22"/>
  <c r="AM58" i="26"/>
  <c r="AM123" i="10"/>
  <c r="Y16" i="15"/>
  <c r="Y45" i="15"/>
  <c r="Y44" i="15"/>
  <c r="Y18" i="15"/>
  <c r="Y30" i="15"/>
  <c r="AK50" i="22"/>
  <c r="AH169" i="10"/>
  <c r="X30" i="15"/>
  <c r="AJ74" i="22"/>
  <c r="AH78" i="11"/>
  <c r="AL120" i="10"/>
  <c r="AM44" i="11"/>
  <c r="AI74" i="11"/>
  <c r="AI78" i="11"/>
  <c r="AA7" i="30"/>
  <c r="AA13" i="15"/>
  <c r="AI216" i="10"/>
  <c r="AI206" i="10"/>
  <c r="AI208" i="10"/>
  <c r="Y36" i="15"/>
  <c r="X33" i="15"/>
  <c r="X37" i="15"/>
  <c r="X48" i="15"/>
  <c r="X36" i="15"/>
  <c r="X47" i="15"/>
  <c r="AM181" i="10"/>
  <c r="AJ153" i="10"/>
  <c r="AK71" i="29"/>
  <c r="AK72" i="29"/>
  <c r="AK134" i="10"/>
  <c r="AK70" i="29"/>
  <c r="AL183" i="10"/>
  <c r="AL178" i="10"/>
  <c r="AI158" i="10"/>
  <c r="AI9" i="11"/>
  <c r="AI136" i="10"/>
  <c r="AI55" i="11"/>
  <c r="AI64" i="11"/>
  <c r="AI155" i="10"/>
  <c r="AI171" i="10"/>
  <c r="AJ67" i="11"/>
  <c r="AA28" i="15"/>
  <c r="AL69" i="29"/>
  <c r="AL66" i="22"/>
  <c r="AL193" i="10"/>
  <c r="AK7" i="11"/>
  <c r="AL44" i="11"/>
  <c r="AH210" i="10"/>
  <c r="AI202" i="10"/>
  <c r="AK58" i="11"/>
  <c r="AK141" i="10"/>
  <c r="AK161" i="10"/>
  <c r="AK129" i="10"/>
  <c r="AL191" i="10"/>
  <c r="AJ73" i="29"/>
  <c r="AJ74" i="29"/>
  <c r="AJ200" i="10"/>
  <c r="AH218" i="10"/>
  <c r="AH222" i="10"/>
  <c r="Z9" i="30"/>
  <c r="AH220" i="10"/>
  <c r="AK188" i="10"/>
  <c r="AL50" i="22"/>
  <c r="AK74" i="22"/>
  <c r="Y40" i="15"/>
  <c r="Y20" i="15"/>
  <c r="Y41" i="15"/>
  <c r="AK41" i="22"/>
  <c r="AJ9" i="11"/>
  <c r="AJ136" i="10"/>
  <c r="AJ55" i="11"/>
  <c r="AJ64" i="11"/>
  <c r="AJ158" i="10"/>
  <c r="AI150" i="10"/>
  <c r="AI168" i="10"/>
  <c r="AI170" i="10"/>
  <c r="AI172" i="10"/>
  <c r="AI167" i="10"/>
  <c r="AL7" i="11"/>
  <c r="AL72" i="26"/>
  <c r="AL132" i="10"/>
  <c r="AL70" i="26"/>
  <c r="AL71" i="26"/>
  <c r="AJ143" i="10"/>
  <c r="AJ60" i="11"/>
  <c r="AJ69" i="11"/>
  <c r="AJ163" i="10"/>
  <c r="AK61" i="22"/>
  <c r="AK43" i="22"/>
  <c r="AM64" i="22"/>
  <c r="AM72" i="22"/>
  <c r="AM69" i="26"/>
  <c r="AM68" i="29"/>
  <c r="AM55" i="22"/>
  <c r="AM57" i="29"/>
  <c r="AM125" i="10"/>
  <c r="AM120" i="10"/>
  <c r="AM7" i="11"/>
  <c r="AK73" i="26"/>
  <c r="AK74" i="26"/>
  <c r="Z18" i="15"/>
  <c r="Z30" i="15"/>
  <c r="Z44" i="15"/>
  <c r="Z16" i="15"/>
  <c r="Z45" i="15"/>
  <c r="AJ69" i="22"/>
  <c r="AL72" i="22"/>
  <c r="AL61" i="22"/>
  <c r="AL43" i="22"/>
  <c r="AL188" i="10"/>
  <c r="Y33" i="15"/>
  <c r="Y37" i="15"/>
  <c r="Y48" i="15"/>
  <c r="AJ216" i="10"/>
  <c r="AB13" i="15"/>
  <c r="AB7" i="30"/>
  <c r="AJ206" i="10"/>
  <c r="AM70" i="26"/>
  <c r="AM72" i="26"/>
  <c r="AM71" i="26"/>
  <c r="AM132" i="10"/>
  <c r="AK153" i="10"/>
  <c r="AB28" i="15"/>
  <c r="AK73" i="29"/>
  <c r="AK74" i="29"/>
  <c r="AK200" i="10"/>
  <c r="AJ208" i="10"/>
  <c r="Y47" i="15"/>
  <c r="AL41" i="22"/>
  <c r="AL134" i="10"/>
  <c r="AL129" i="10"/>
  <c r="AL71" i="29"/>
  <c r="AL72" i="29"/>
  <c r="AL70" i="29"/>
  <c r="AK143" i="10"/>
  <c r="AK138" i="10"/>
  <c r="AK169" i="10"/>
  <c r="AK163" i="10"/>
  <c r="AK60" i="11"/>
  <c r="AK69" i="11"/>
  <c r="AA16" i="15"/>
  <c r="AA45" i="15"/>
  <c r="AA44" i="15"/>
  <c r="AA18" i="15"/>
  <c r="AJ74" i="11"/>
  <c r="Z36" i="15"/>
  <c r="AM69" i="29"/>
  <c r="AM66" i="22"/>
  <c r="AM193" i="10"/>
  <c r="Z20" i="15"/>
  <c r="Z41" i="15"/>
  <c r="Z40" i="15"/>
  <c r="AM183" i="10"/>
  <c r="AM178" i="10"/>
  <c r="AJ155" i="10"/>
  <c r="AL73" i="26"/>
  <c r="AL74" i="26"/>
  <c r="AK136" i="10"/>
  <c r="AK55" i="11"/>
  <c r="AK64" i="11"/>
  <c r="AK158" i="10"/>
  <c r="AK9" i="11"/>
  <c r="AJ202" i="10"/>
  <c r="AI210" i="10"/>
  <c r="AI218" i="10"/>
  <c r="AI222" i="10"/>
  <c r="AA9" i="30"/>
  <c r="AI220" i="10"/>
  <c r="AK69" i="22"/>
  <c r="AJ78" i="11"/>
  <c r="AJ138" i="10"/>
  <c r="AJ171" i="10"/>
  <c r="AM191" i="10"/>
  <c r="AL58" i="11"/>
  <c r="AL141" i="10"/>
  <c r="AL161" i="10"/>
  <c r="AK67" i="11"/>
  <c r="AL74" i="22"/>
  <c r="AM50" i="22"/>
  <c r="AM188" i="10"/>
  <c r="AM74" i="22"/>
  <c r="AL69" i="22"/>
  <c r="AK74" i="11"/>
  <c r="AK78" i="11"/>
  <c r="Z33" i="15"/>
  <c r="Z37" i="15"/>
  <c r="Z48" i="15"/>
  <c r="AK216" i="10"/>
  <c r="AC7" i="30"/>
  <c r="AC13" i="15"/>
  <c r="AK206" i="10"/>
  <c r="AK208" i="10"/>
  <c r="AL153" i="10"/>
  <c r="AM41" i="22"/>
  <c r="AL9" i="11"/>
  <c r="AL55" i="11"/>
  <c r="AL64" i="11"/>
  <c r="AL136" i="10"/>
  <c r="AL158" i="10"/>
  <c r="AJ210" i="10"/>
  <c r="AK202" i="10"/>
  <c r="AK171" i="10"/>
  <c r="AK155" i="10"/>
  <c r="AL60" i="11"/>
  <c r="AL69" i="11"/>
  <c r="AL143" i="10"/>
  <c r="AL163" i="10"/>
  <c r="AJ218" i="10"/>
  <c r="AJ222" i="10"/>
  <c r="AB9" i="30"/>
  <c r="AJ220" i="10"/>
  <c r="AM61" i="22"/>
  <c r="AM43" i="22"/>
  <c r="AA40" i="15"/>
  <c r="AA20" i="15"/>
  <c r="AA41" i="15"/>
  <c r="AM73" i="26"/>
  <c r="AM74" i="26"/>
  <c r="AB16" i="15"/>
  <c r="AB45" i="15"/>
  <c r="AB18" i="15"/>
  <c r="AB44" i="15"/>
  <c r="Z47" i="15"/>
  <c r="AJ150" i="10"/>
  <c r="AJ168" i="10"/>
  <c r="AJ172" i="10"/>
  <c r="AJ170" i="10"/>
  <c r="AJ167" i="10"/>
  <c r="AJ169" i="10"/>
  <c r="AM72" i="29"/>
  <c r="AM71" i="29"/>
  <c r="AM70" i="29"/>
  <c r="AM134" i="10"/>
  <c r="AM129" i="10"/>
  <c r="AL73" i="29"/>
  <c r="AL74" i="29"/>
  <c r="AL200" i="10"/>
  <c r="AK150" i="10"/>
  <c r="AK168" i="10"/>
  <c r="AK170" i="10"/>
  <c r="AK172" i="10"/>
  <c r="AK167" i="10"/>
  <c r="AA30" i="15"/>
  <c r="AL67" i="11"/>
  <c r="AC28" i="15"/>
  <c r="AM161" i="10"/>
  <c r="AM141" i="10"/>
  <c r="AM58" i="11"/>
  <c r="AL78" i="11"/>
  <c r="AL74" i="11"/>
  <c r="AL216" i="10"/>
  <c r="AD7" i="30"/>
  <c r="AD13" i="15"/>
  <c r="AL206" i="10"/>
  <c r="AL208" i="10"/>
  <c r="AM9" i="11"/>
  <c r="AM158" i="10"/>
  <c r="AM136" i="10"/>
  <c r="AM55" i="11"/>
  <c r="AM64" i="11"/>
  <c r="AB20" i="15"/>
  <c r="AB41" i="15"/>
  <c r="AB40" i="15"/>
  <c r="AM73" i="29"/>
  <c r="AM74" i="29"/>
  <c r="AM200" i="10"/>
  <c r="AM69" i="22"/>
  <c r="AK218" i="10"/>
  <c r="AK222" i="10"/>
  <c r="AC9" i="30"/>
  <c r="AK220" i="10"/>
  <c r="AM153" i="10"/>
  <c r="AM67" i="11"/>
  <c r="AD28" i="15"/>
  <c r="AB30" i="15"/>
  <c r="AA33" i="15"/>
  <c r="AA37" i="15"/>
  <c r="AA48" i="15"/>
  <c r="AA36" i="15"/>
  <c r="AA47" i="15"/>
  <c r="AM60" i="11"/>
  <c r="AM69" i="11"/>
  <c r="AM143" i="10"/>
  <c r="AM138" i="10"/>
  <c r="AM163" i="10"/>
  <c r="AL155" i="10"/>
  <c r="AL202" i="10"/>
  <c r="AK210" i="10"/>
  <c r="AC44" i="15"/>
  <c r="AC16" i="15"/>
  <c r="AC45" i="15"/>
  <c r="AC18" i="15"/>
  <c r="AC30" i="15"/>
  <c r="AL138" i="10"/>
  <c r="AE7" i="30"/>
  <c r="AE13" i="15"/>
  <c r="AM216" i="10"/>
  <c r="AM206" i="10"/>
  <c r="AM208" i="10"/>
  <c r="AM150" i="10"/>
  <c r="AM168" i="10"/>
  <c r="AM172" i="10"/>
  <c r="AM170" i="10"/>
  <c r="AM167" i="10"/>
  <c r="AM169" i="10"/>
  <c r="AC36" i="15"/>
  <c r="AM202" i="10"/>
  <c r="AL210" i="10"/>
  <c r="AC40" i="15"/>
  <c r="AC20" i="15"/>
  <c r="AC41" i="15"/>
  <c r="AL220" i="10"/>
  <c r="AL218" i="10"/>
  <c r="AL222" i="10"/>
  <c r="AD9" i="30"/>
  <c r="AM78" i="11"/>
  <c r="AL150" i="10"/>
  <c r="AL168" i="10"/>
  <c r="AL170" i="10"/>
  <c r="AL172" i="10"/>
  <c r="AL167" i="10"/>
  <c r="AL169" i="10"/>
  <c r="AE28" i="15"/>
  <c r="AD16" i="15"/>
  <c r="AD45" i="15"/>
  <c r="AD44" i="15"/>
  <c r="AD18" i="15"/>
  <c r="AD30" i="15"/>
  <c r="AL171" i="10"/>
  <c r="AM155" i="10"/>
  <c r="AM171" i="10"/>
  <c r="AB33" i="15"/>
  <c r="AB37" i="15"/>
  <c r="AB48" i="15"/>
  <c r="AB36" i="15"/>
  <c r="AB47" i="15"/>
  <c r="AM74" i="11"/>
  <c r="AD20" i="15"/>
  <c r="AD41" i="15"/>
  <c r="AD40" i="15"/>
  <c r="AM210" i="10"/>
  <c r="AE44" i="15"/>
  <c r="AE16" i="15"/>
  <c r="AE45" i="15"/>
  <c r="AE18" i="15"/>
  <c r="AE30" i="15"/>
  <c r="AD36" i="15"/>
  <c r="AM218" i="10"/>
  <c r="AM222" i="10"/>
  <c r="AE9" i="30"/>
  <c r="AM220" i="10"/>
  <c r="AC33" i="15"/>
  <c r="AC37" i="15"/>
  <c r="AC48" i="15"/>
  <c r="AC47" i="15"/>
  <c r="AE36" i="15"/>
  <c r="AD47" i="15"/>
  <c r="AD33" i="15"/>
  <c r="AD37" i="15"/>
  <c r="AD48" i="15"/>
  <c r="AE40" i="15"/>
  <c r="AE20" i="15"/>
  <c r="AE41" i="15"/>
  <c r="AE33" i="15"/>
  <c r="AE37" i="15"/>
  <c r="AE48" i="15"/>
  <c r="AE47" i="15"/>
</calcChain>
</file>

<file path=xl/sharedStrings.xml><?xml version="1.0" encoding="utf-8"?>
<sst xmlns="http://schemas.openxmlformats.org/spreadsheetml/2006/main" count="1584" uniqueCount="1078">
  <si>
    <t>Emission rate (CO2 per gallon) w/o carbon tax</t>
  </si>
  <si>
    <t>Emission rate (CO2 per gallon) w/ carbon tax</t>
  </si>
  <si>
    <t>Emission rate (CO2 per btu) w/o carbon tax</t>
  </si>
  <si>
    <t>Emission rate (CO2 per btu) w/ carbon tax</t>
  </si>
  <si>
    <t xml:space="preserve">  from Electricity</t>
  </si>
  <si>
    <t xml:space="preserve"> ¢/gal</t>
  </si>
  <si>
    <t>Product of two earlier ratios, above</t>
  </si>
  <si>
    <t>Ratio (due to carbon tax)</t>
  </si>
  <si>
    <r>
      <t xml:space="preserve">Line losses </t>
    </r>
    <r>
      <rPr>
        <sz val="8"/>
        <rFont val="Arial"/>
        <family val="2"/>
      </rPr>
      <t>(% of generation that doesn't reach user)</t>
    </r>
  </si>
  <si>
    <t>U.S. gasoline sales with carbon tax, million gallons</t>
  </si>
  <si>
    <t>U.S. Carbon Dioxide Emissions</t>
  </si>
  <si>
    <t>Aviation</t>
  </si>
  <si>
    <t>Additional Energy Constants</t>
  </si>
  <si>
    <t>http://www.eia.doe.gov/emeu/mer/append_a.html, Table A3.</t>
  </si>
  <si>
    <t>Million Btu per barrel, jet fuel</t>
  </si>
  <si>
    <t>lbs CO2 per gallon, jet fuel</t>
  </si>
  <si>
    <t xml:space="preserve">Assumed price-elasticity of demand for jet fuel (long-run) </t>
  </si>
  <si>
    <t>Jet Fuel usage, million gallons, w/o carbon tax</t>
  </si>
  <si>
    <t xml:space="preserve">  from Aviation</t>
  </si>
  <si>
    <t>Graph_Oil</t>
  </si>
  <si>
    <t>Graph_CO2</t>
  </si>
  <si>
    <t>CO2 emissions</t>
  </si>
  <si>
    <t>Without a carbon tax or other carbon-pricing action</t>
  </si>
  <si>
    <t>Actual data</t>
  </si>
  <si>
    <t>All emissions are for USA, in millions of metric tons of carbon dioxide per year, from fossil-fuel combustion.</t>
  </si>
  <si>
    <t>Yes Tax ---------------------------------------------------&gt;</t>
  </si>
  <si>
    <t>ton/CO2 tax</t>
  </si>
  <si>
    <t>Inputs</t>
  </si>
  <si>
    <t>Calendar Year</t>
  </si>
  <si>
    <t>Tax Revenues</t>
  </si>
  <si>
    <r>
      <t xml:space="preserve">from </t>
    </r>
    <r>
      <rPr>
        <b/>
        <sz val="8"/>
        <rFont val="Arial"/>
        <family val="2"/>
      </rPr>
      <t xml:space="preserve">Summary </t>
    </r>
    <r>
      <rPr>
        <sz val="8"/>
        <rFont val="Arial"/>
        <family val="2"/>
      </rPr>
      <t>worksheet</t>
    </r>
  </si>
  <si>
    <t>As provided in the Larson bill, America's Energy Security Trust Fund Act of 2009, version of 4 March 2009.</t>
  </si>
  <si>
    <t>minimum of $10 billion or one-sixth of revenues (p. 15)</t>
  </si>
  <si>
    <t>Affected Industry Transition Fund</t>
  </si>
  <si>
    <t>Amount by which Transition Fund in each year is less than prior year's Level (expressed as fraction of original amount)</t>
  </si>
  <si>
    <t>First Year Percent of Revenues</t>
  </si>
  <si>
    <t>See p. 16.</t>
  </si>
  <si>
    <t>Remaining Revenue (of which 100% is dedicated to reducing payroll taxes)</t>
  </si>
  <si>
    <t>Payroll Tax Reduction Amount as % of Revenues</t>
  </si>
  <si>
    <t>In Each Year</t>
  </si>
  <si>
    <t>Cumulative from Inception through Year Shown</t>
  </si>
  <si>
    <t>Cumulative Revenues</t>
  </si>
  <si>
    <t>Cumulative Payroll Tax Shift Revenues</t>
  </si>
  <si>
    <t>Clean-Energy R&amp;D and Investment</t>
  </si>
  <si>
    <t>Clean-Energy R&amp;D and Investment as % of Revenues</t>
  </si>
  <si>
    <t>Affected Industry Transition Fund as % of Revenues</t>
  </si>
  <si>
    <t>Cumulative</t>
  </si>
  <si>
    <t>Affected Industry Transition Fund, Annual</t>
  </si>
  <si>
    <t>Coal</t>
  </si>
  <si>
    <t>Petroleum</t>
  </si>
  <si>
    <t>GHG's (Greenhouse Gases)</t>
  </si>
  <si>
    <t>Fossil Fuel Combustion</t>
  </si>
  <si>
    <t>Electricity Generation</t>
  </si>
  <si>
    <t>Transportation</t>
  </si>
  <si>
    <t>Industrial</t>
  </si>
  <si>
    <t>Residential</t>
  </si>
  <si>
    <t>Commercial</t>
  </si>
  <si>
    <t>U.S. Territories</t>
  </si>
  <si>
    <t>CO2 from other sources</t>
  </si>
  <si>
    <t>CH4</t>
  </si>
  <si>
    <t>N20</t>
  </si>
  <si>
    <t>HFCs</t>
  </si>
  <si>
    <t>PFCs</t>
  </si>
  <si>
    <t>SF6</t>
  </si>
  <si>
    <t>CO2 Shares from sectors</t>
  </si>
  <si>
    <t>This worksheet compiles U.S. emissions of all greenhouse gases, as estimated by U.S. EPA in:</t>
  </si>
  <si>
    <t>http://www.epa.gov/climatechange/emissions/usgginv_archive.html</t>
  </si>
  <si>
    <t>&lt;--------------------------- No Tax</t>
  </si>
  <si>
    <t>CO2 Subtotal</t>
  </si>
  <si>
    <t>Non-CO2 Subtotal</t>
  </si>
  <si>
    <t># 15 is calc'd as sum of 10-14:</t>
  </si>
  <si>
    <t># 2, taken from source, is also sum of 3-8:</t>
  </si>
  <si>
    <r>
      <t>Inventory of U.S. Greenhouse Gas Emissions and Sinks: 1990–2006</t>
    </r>
    <r>
      <rPr>
        <sz val="9"/>
        <rFont val="Arial"/>
      </rPr>
      <t xml:space="preserve"> (executive summary), available via the portal,</t>
    </r>
  </si>
  <si>
    <t># 16 is sum of 1 + 10-14:</t>
  </si>
  <si>
    <t>Re # 9: Amount shown is 1 less 2. Also matches manually calc'd sum of all 20 remaining rows in cited table, from non-energy use of fuels, iron and steel production and cement production, to lead production and SiC production and consumption.</t>
  </si>
  <si>
    <t>Total of 3-7 (i.e., #2 but w/o U.S. Territories)</t>
  </si>
  <si>
    <t>Greenhouse Gas Emissions (GHGs)</t>
  </si>
  <si>
    <t>% of GHG</t>
  </si>
  <si>
    <t>% of CO2</t>
  </si>
  <si>
    <t>% of FF's</t>
  </si>
  <si>
    <t>FF %'s w/o Territories</t>
  </si>
  <si>
    <t>2005 FF's, w/ Territ's allocated</t>
  </si>
  <si>
    <t>SEC. 703. REDUCTION TARGETS FOR SPECIFIED SOURCES, pp. 682-683:</t>
  </si>
  <si>
    <r>
      <t xml:space="preserve">The regulations issued under section 721 shall cap and reduce annually the greenhouse gas emissions of capped sources each calendar year beginning in 2012 such that ... </t>
    </r>
    <r>
      <rPr>
        <b/>
        <sz val="8"/>
        <rFont val="Arial"/>
        <family val="2"/>
      </rPr>
      <t>in 2020</t>
    </r>
    <r>
      <rPr>
        <sz val="8"/>
        <rFont val="Arial"/>
        <family val="2"/>
      </rPr>
      <t xml:space="preserve">, the quantity of greenhouse gas emissions from capped sources </t>
    </r>
    <r>
      <rPr>
        <b/>
        <sz val="8"/>
        <color indexed="10"/>
        <rFont val="Arial"/>
        <family val="2"/>
      </rPr>
      <t>does not exceed 83 percent</t>
    </r>
    <r>
      <rPr>
        <sz val="8"/>
        <rFont val="Arial"/>
        <family val="2"/>
      </rPr>
      <t xml:space="preserve"> of the quantity of greenhouse gas emissions  from such sources </t>
    </r>
    <r>
      <rPr>
        <b/>
        <sz val="8"/>
        <rFont val="Arial"/>
        <family val="2"/>
      </rPr>
      <t>in 2005</t>
    </r>
    <r>
      <rPr>
        <sz val="8"/>
        <rFont val="Arial"/>
        <family val="2"/>
      </rPr>
      <t>.</t>
    </r>
  </si>
  <si>
    <t>If 17% reduxn is shared equally</t>
  </si>
  <si>
    <t>Reduction</t>
  </si>
  <si>
    <t>Amount</t>
  </si>
  <si>
    <t>Figures in column apply either to 2007 or throughout.</t>
  </si>
  <si>
    <t>This and later years pivot off first tax year.</t>
  </si>
  <si>
    <t>U.S. net electric gen. w/o carbon tax, thousand GWh</t>
  </si>
  <si>
    <t>CTC estimate, intended to reflect increased penetration of biofuels, hydrogen, etc. as conventional fuels grow more costly.</t>
  </si>
  <si>
    <t>Note: This section not included in Print Area.</t>
  </si>
  <si>
    <t>U.S. Motor gasoline 000 bbls/day</t>
  </si>
  <si>
    <t>U.S. Motor gasoline 000 bbls (entire year)</t>
  </si>
  <si>
    <t>U.S. Motor gasoline, million gallons</t>
  </si>
  <si>
    <t>U.S. Jet Fuel 000 bbls (entire year)</t>
  </si>
  <si>
    <t>All figures are for 2005, in Tg (millions of metric tons) of CO2 equivalent</t>
  </si>
  <si>
    <t>Unrounded</t>
  </si>
  <si>
    <t>Rounded</t>
  </si>
  <si>
    <t>U.S. Terr, allocated</t>
  </si>
  <si>
    <r>
      <t>"Since non-CO</t>
    </r>
    <r>
      <rPr>
        <vertAlign val="subscript"/>
        <sz val="8"/>
        <rFont val="Arial"/>
        <family val="2"/>
      </rPr>
      <t>2</t>
    </r>
    <r>
      <rPr>
        <sz val="8"/>
        <rFont val="Arial"/>
        <family val="2"/>
      </rPr>
      <t xml:space="preserve"> greenhouse gases can be relatively inexpensive to reduce compared to carbon dioxide (CO</t>
    </r>
    <r>
      <rPr>
        <vertAlign val="subscript"/>
        <sz val="8"/>
        <rFont val="Arial"/>
        <family val="2"/>
      </rPr>
      <t>2</t>
    </r>
    <r>
      <rPr>
        <sz val="8"/>
        <rFont val="Arial"/>
        <family val="2"/>
      </rPr>
      <t>), EPA has focused on incorporating international non-CO</t>
    </r>
    <r>
      <rPr>
        <vertAlign val="subscript"/>
        <sz val="8"/>
        <rFont val="Arial"/>
        <family val="2"/>
      </rPr>
      <t>2</t>
    </r>
    <r>
      <rPr>
        <sz val="8"/>
        <rFont val="Arial"/>
        <family val="2"/>
      </rPr>
      <t xml:space="preserve"> greenhouse gas mitigation into analysis and policy discussions. EPA prepared a global cost analysis of all non-CO</t>
    </r>
    <r>
      <rPr>
        <vertAlign val="subscript"/>
        <sz val="8"/>
        <rFont val="Arial"/>
        <family val="2"/>
      </rPr>
      <t>2</t>
    </r>
    <r>
      <rPr>
        <sz val="8"/>
        <rFont val="Arial"/>
        <family val="2"/>
      </rPr>
      <t xml:space="preserve"> greenhouse gases." (citation immed'ly below) While this statement is based on global emissions, it may also apply to U.S. emissions.</t>
    </r>
  </si>
  <si>
    <r>
      <t>Global Mitigation of Non-CO</t>
    </r>
    <r>
      <rPr>
        <vertAlign val="subscript"/>
        <sz val="9"/>
        <rFont val="Arial"/>
        <family val="2"/>
      </rPr>
      <t>2</t>
    </r>
    <r>
      <rPr>
        <sz val="9"/>
        <rFont val="Arial"/>
      </rPr>
      <t xml:space="preserve"> Greenhouse Gases (EPA Report 430-R-06-005), </t>
    </r>
    <r>
      <rPr>
        <sz val="8"/>
        <rFont val="Arial"/>
        <family val="2"/>
      </rPr>
      <t>http://www.epa.gov/climatechange/economics/international.html</t>
    </r>
  </si>
  <si>
    <t xml:space="preserve">If non-CO2 sectors reduce by 2 x 17% </t>
  </si>
  <si>
    <r>
      <t xml:space="preserve">(from </t>
    </r>
    <r>
      <rPr>
        <b/>
        <sz val="8"/>
        <rFont val="Arial"/>
        <family val="2"/>
      </rPr>
      <t>Emissions</t>
    </r>
    <r>
      <rPr>
        <sz val="8"/>
        <rFont val="Arial"/>
        <family val="2"/>
      </rPr>
      <t xml:space="preserve"> worksheet)</t>
    </r>
  </si>
  <si>
    <t>Summary</t>
  </si>
  <si>
    <t>CO2 emissions, w/o carbon tax, millions of metric tons</t>
  </si>
  <si>
    <t>Total</t>
  </si>
  <si>
    <t>Electricity</t>
  </si>
  <si>
    <t>Gasoline</t>
  </si>
  <si>
    <t>Pounds per metric ton</t>
  </si>
  <si>
    <t>Ratio, Generation to Sales</t>
  </si>
  <si>
    <t>CO2 emissions, millions of metric tons, w/o carbon tax</t>
  </si>
  <si>
    <t>CO2 emissions, millions of metric tons, with carbon tax</t>
  </si>
  <si>
    <t>Pounds of CO2 per pound of carbon</t>
  </si>
  <si>
    <t>Million Btu per barrel, gasoline</t>
  </si>
  <si>
    <t>Btu per gallon, gasoline</t>
  </si>
  <si>
    <t>lbs Carbon per gallon, gasoline</t>
  </si>
  <si>
    <t>lbs CO2 per gallon, gasoline</t>
  </si>
  <si>
    <t>Assumed price-elasticity (long-term)</t>
  </si>
  <si>
    <t>See discussion in http://www.carbontax.org/issues/energy-demand-how-sensitive-to-price/</t>
  </si>
  <si>
    <t>Gasoline usage, million gallons, w/o carbon tax</t>
  </si>
  <si>
    <t>CO2 emissions, lb / gallon</t>
  </si>
  <si>
    <t>Tax per million btu of fuel</t>
  </si>
  <si>
    <t>Analysis</t>
  </si>
  <si>
    <t>Year chosen for snapshot:</t>
  </si>
  <si>
    <t>Emission rate (CO2 per kWh) w/o carbon tax</t>
  </si>
  <si>
    <t>Emission rate (CO2 per kWh) w/ carbon tax</t>
  </si>
  <si>
    <t xml:space="preserve">Ratio of "demand" shrinkage factor to </t>
  </si>
  <si>
    <t>"emissions rate" shrinkage factor:</t>
  </si>
  <si>
    <t xml:space="preserve"> Share of total reduction attributable to demand</t>
  </si>
  <si>
    <t xml:space="preserve"> Share of total reduxn attributable to emission rate</t>
  </si>
  <si>
    <t xml:space="preserve">Assumed price-elasticity of demand for gasoline (long-run) </t>
  </si>
  <si>
    <t>Data from EPA</t>
  </si>
  <si>
    <t>Natural Gas</t>
  </si>
  <si>
    <r>
      <t xml:space="preserve">Coal </t>
    </r>
    <r>
      <rPr>
        <sz val="8"/>
        <rFont val="Arial"/>
        <family val="2"/>
      </rPr>
      <t>(from Table 2-13)</t>
    </r>
  </si>
  <si>
    <r>
      <t xml:space="preserve">Natural Gas </t>
    </r>
    <r>
      <rPr>
        <sz val="8"/>
        <rFont val="Arial"/>
        <family val="2"/>
      </rPr>
      <t>(from Table 2-13)</t>
    </r>
  </si>
  <si>
    <r>
      <t xml:space="preserve">Petroleum </t>
    </r>
    <r>
      <rPr>
        <sz val="8"/>
        <rFont val="Arial"/>
        <family val="2"/>
      </rPr>
      <t>(from Table 2-13)</t>
    </r>
  </si>
  <si>
    <r>
      <t>MSW</t>
    </r>
    <r>
      <rPr>
        <sz val="8"/>
        <rFont val="Arial"/>
        <family val="2"/>
      </rPr>
      <t xml:space="preserve"> (from Table 2-13)</t>
    </r>
  </si>
  <si>
    <t>Passenger Cars</t>
  </si>
  <si>
    <t>Light-Duty Trucks</t>
  </si>
  <si>
    <t>Medium- and Heavy-Duty Trucks</t>
  </si>
  <si>
    <t>Buses</t>
  </si>
  <si>
    <t>Motorcycles</t>
  </si>
  <si>
    <t>Commercial Aircraft</t>
  </si>
  <si>
    <t>Rail</t>
  </si>
  <si>
    <t>Recreational Boats</t>
  </si>
  <si>
    <t>Distillate Fuel Oil (Diesel)</t>
  </si>
  <si>
    <t>International Bunker Fuels</t>
  </si>
  <si>
    <t>Jet Fuel</t>
  </si>
  <si>
    <t>Military Aircraft</t>
  </si>
  <si>
    <t>General Aviation Aircraft</t>
  </si>
  <si>
    <t>Aviation Gasoline</t>
  </si>
  <si>
    <t>Residual Fuel Oil</t>
  </si>
  <si>
    <t>Ships and Other Boats</t>
  </si>
  <si>
    <r>
      <t xml:space="preserve">Int'l Bunker Fuels </t>
    </r>
    <r>
      <rPr>
        <sz val="8"/>
        <rFont val="Arial"/>
        <family val="2"/>
      </rPr>
      <t>(departing flights' aviation fuel; p. 3-56)</t>
    </r>
  </si>
  <si>
    <r>
      <t>Total w/o Geothermal</t>
    </r>
    <r>
      <rPr>
        <sz val="8"/>
        <rFont val="Arial"/>
        <family val="2"/>
      </rPr>
      <t xml:space="preserve"> (Geoth. is CO2 equiv, not CO2)</t>
    </r>
  </si>
  <si>
    <t>from Personal Ground Travel</t>
  </si>
  <si>
    <t xml:space="preserve">  from Personal Ground Travel</t>
  </si>
  <si>
    <t>Personal Ground Travel</t>
  </si>
  <si>
    <r>
      <t xml:space="preserve">All CO2 </t>
    </r>
    <r>
      <rPr>
        <sz val="8"/>
        <rFont val="Arial"/>
        <family val="2"/>
      </rPr>
      <t>(Table ES-2)</t>
    </r>
  </si>
  <si>
    <r>
      <t xml:space="preserve">CO2 Emissions from FF Combustion </t>
    </r>
    <r>
      <rPr>
        <sz val="8"/>
        <rFont val="Arial"/>
        <family val="2"/>
      </rPr>
      <t>(Table ES-2)</t>
    </r>
  </si>
  <si>
    <r>
      <t xml:space="preserve">Non-Energy Use of Fuels </t>
    </r>
    <r>
      <rPr>
        <sz val="8"/>
        <rFont val="Arial"/>
        <family val="2"/>
      </rPr>
      <t>(Table ES-2)</t>
    </r>
  </si>
  <si>
    <t>Other</t>
  </si>
  <si>
    <t>Freight</t>
  </si>
  <si>
    <t xml:space="preserve">  from Freight (Goods Movement)</t>
  </si>
  <si>
    <t>These entries are shown as a check, to ensure that ratio here is product of two prior ones.</t>
  </si>
  <si>
    <t>Table ES-2: Recent Trends in U.S. Greenhouse Gas Emissions and Sinks (Tg CO2 Eq.), in report,</t>
  </si>
  <si>
    <t>CO2 emissions, lb / kWh (generated)</t>
  </si>
  <si>
    <t>Parameters</t>
  </si>
  <si>
    <r>
      <t xml:space="preserve">This page pertains only to </t>
    </r>
    <r>
      <rPr>
        <b/>
        <sz val="9"/>
        <rFont val="Arial"/>
        <family val="2"/>
      </rPr>
      <t>Electricity</t>
    </r>
    <r>
      <rPr>
        <sz val="9"/>
        <rFont val="Arial"/>
      </rPr>
      <t xml:space="preserve">. Succeeding pages show </t>
    </r>
    <r>
      <rPr>
        <b/>
        <sz val="9"/>
        <rFont val="Arial"/>
        <family val="2"/>
      </rPr>
      <t>Personal Ground Travel</t>
    </r>
    <r>
      <rPr>
        <sz val="9"/>
        <rFont val="Arial"/>
      </rPr>
      <t xml:space="preserve">, </t>
    </r>
    <r>
      <rPr>
        <b/>
        <sz val="9"/>
        <rFont val="Arial"/>
        <family val="2"/>
      </rPr>
      <t>Freight</t>
    </r>
    <r>
      <rPr>
        <sz val="9"/>
        <rFont val="Arial"/>
      </rPr>
      <t xml:space="preserve">, </t>
    </r>
    <r>
      <rPr>
        <b/>
        <sz val="9"/>
        <rFont val="Arial"/>
        <family val="2"/>
      </rPr>
      <t>Aviation</t>
    </r>
    <r>
      <rPr>
        <sz val="9"/>
        <rFont val="Arial"/>
      </rPr>
      <t xml:space="preserve">, and </t>
    </r>
    <r>
      <rPr>
        <b/>
        <sz val="9"/>
        <rFont val="Arial"/>
        <family val="2"/>
      </rPr>
      <t>Other</t>
    </r>
    <r>
      <rPr>
        <sz val="9"/>
        <rFont val="Arial"/>
      </rPr>
      <t xml:space="preserve"> Sectors.</t>
    </r>
  </si>
  <si>
    <r>
      <t xml:space="preserve">This page pertains only to </t>
    </r>
    <r>
      <rPr>
        <b/>
        <sz val="9"/>
        <rFont val="Arial"/>
        <family val="2"/>
      </rPr>
      <t>Personal Ground Travel</t>
    </r>
    <r>
      <rPr>
        <sz val="9"/>
        <rFont val="Arial"/>
      </rPr>
      <t xml:space="preserve">. Other pages show </t>
    </r>
    <r>
      <rPr>
        <b/>
        <sz val="9"/>
        <rFont val="Arial"/>
        <family val="2"/>
      </rPr>
      <t>Electricity</t>
    </r>
    <r>
      <rPr>
        <sz val="9"/>
        <rFont val="Arial"/>
      </rPr>
      <t xml:space="preserve">, </t>
    </r>
    <r>
      <rPr>
        <b/>
        <sz val="9"/>
        <rFont val="Arial"/>
        <family val="2"/>
      </rPr>
      <t>Freight</t>
    </r>
    <r>
      <rPr>
        <sz val="9"/>
        <rFont val="Arial"/>
      </rPr>
      <t xml:space="preserve">, </t>
    </r>
    <r>
      <rPr>
        <b/>
        <sz val="9"/>
        <rFont val="Arial"/>
        <family val="2"/>
      </rPr>
      <t>Aviation</t>
    </r>
    <r>
      <rPr>
        <sz val="9"/>
        <rFont val="Arial"/>
      </rPr>
      <t xml:space="preserve">, and </t>
    </r>
    <r>
      <rPr>
        <b/>
        <sz val="9"/>
        <rFont val="Arial"/>
        <family val="2"/>
      </rPr>
      <t>Other</t>
    </r>
    <r>
      <rPr>
        <sz val="9"/>
        <rFont val="Arial"/>
      </rPr>
      <t xml:space="preserve"> Sectors.</t>
    </r>
  </si>
  <si>
    <r>
      <t xml:space="preserve">This page pertains only to </t>
    </r>
    <r>
      <rPr>
        <b/>
        <sz val="9"/>
        <rFont val="Arial"/>
        <family val="2"/>
      </rPr>
      <t>Freight</t>
    </r>
    <r>
      <rPr>
        <sz val="9"/>
        <rFont val="Arial"/>
      </rPr>
      <t xml:space="preserve">. Other pages show </t>
    </r>
    <r>
      <rPr>
        <b/>
        <sz val="9"/>
        <rFont val="Arial"/>
        <family val="2"/>
      </rPr>
      <t>Electricity</t>
    </r>
    <r>
      <rPr>
        <sz val="9"/>
        <rFont val="Arial"/>
      </rPr>
      <t xml:space="preserve">, </t>
    </r>
    <r>
      <rPr>
        <b/>
        <sz val="9"/>
        <rFont val="Arial"/>
        <family val="2"/>
      </rPr>
      <t>Personal Ground Travel</t>
    </r>
    <r>
      <rPr>
        <sz val="9"/>
        <rFont val="Arial"/>
      </rPr>
      <t xml:space="preserve">, </t>
    </r>
    <r>
      <rPr>
        <b/>
        <sz val="9"/>
        <rFont val="Arial"/>
        <family val="2"/>
      </rPr>
      <t>Aviation</t>
    </r>
    <r>
      <rPr>
        <sz val="9"/>
        <rFont val="Arial"/>
      </rPr>
      <t xml:space="preserve">, and </t>
    </r>
    <r>
      <rPr>
        <b/>
        <sz val="9"/>
        <rFont val="Arial"/>
        <family val="2"/>
      </rPr>
      <t>Other</t>
    </r>
    <r>
      <rPr>
        <sz val="9"/>
        <rFont val="Arial"/>
      </rPr>
      <t xml:space="preserve"> Sectors.</t>
    </r>
  </si>
  <si>
    <r>
      <t xml:space="preserve">This page pertains only to </t>
    </r>
    <r>
      <rPr>
        <b/>
        <sz val="9"/>
        <rFont val="Arial"/>
        <family val="2"/>
      </rPr>
      <t>Aviation</t>
    </r>
    <r>
      <rPr>
        <sz val="9"/>
        <rFont val="Arial"/>
      </rPr>
      <t xml:space="preserve">. Other pages show </t>
    </r>
    <r>
      <rPr>
        <b/>
        <sz val="9"/>
        <rFont val="Arial"/>
        <family val="2"/>
      </rPr>
      <t>Electricity</t>
    </r>
    <r>
      <rPr>
        <sz val="9"/>
        <rFont val="Arial"/>
      </rPr>
      <t xml:space="preserve">, </t>
    </r>
    <r>
      <rPr>
        <b/>
        <sz val="9"/>
        <rFont val="Arial"/>
        <family val="2"/>
      </rPr>
      <t>Personal Ground Travel</t>
    </r>
    <r>
      <rPr>
        <sz val="9"/>
        <rFont val="Arial"/>
      </rPr>
      <t xml:space="preserve">, </t>
    </r>
    <r>
      <rPr>
        <b/>
        <sz val="9"/>
        <rFont val="Arial"/>
        <family val="2"/>
      </rPr>
      <t>Freight</t>
    </r>
    <r>
      <rPr>
        <sz val="9"/>
        <rFont val="Arial"/>
      </rPr>
      <t xml:space="preserve">, and </t>
    </r>
    <r>
      <rPr>
        <b/>
        <sz val="9"/>
        <rFont val="Arial"/>
        <family val="2"/>
      </rPr>
      <t>Other</t>
    </r>
    <r>
      <rPr>
        <sz val="9"/>
        <rFont val="Arial"/>
      </rPr>
      <t xml:space="preserve"> Sectors.</t>
    </r>
  </si>
  <si>
    <t>Amount by which a $10/ton carbon tax raises the price of a coal-fired kWh w/ 10,000 Btu heat rate:</t>
  </si>
  <si>
    <t>Pounds per short ton</t>
  </si>
  <si>
    <t>Amount by which a $10/ton carbon tax raises the price of a gas-fired kWh w/ 6,000 Btu heat rate:</t>
  </si>
  <si>
    <t>¢/kWh</t>
  </si>
  <si>
    <t>Gallons per barrel</t>
  </si>
  <si>
    <t>Motor Gasoline</t>
  </si>
  <si>
    <t>All Petrol Products</t>
  </si>
  <si>
    <t>All but MG, Jet, AV, Res</t>
  </si>
  <si>
    <t>Resid
Fuel</t>
  </si>
  <si>
    <t>Days in year (we ignore leap years)</t>
  </si>
  <si>
    <t>USEPA, "Emission Facts: Average Carbon Dioxide Emissions Resulting from Gasoline and Diesel Fuel," EPA420-F-05-001 February 2005, &lt;http://www.epa.gov/oms/climate/420f05001.htm#carbon&gt;</t>
  </si>
  <si>
    <t>Grams per pound</t>
  </si>
  <si>
    <t>Figures in column  correspond to actual data.</t>
  </si>
  <si>
    <t>Monthly Energy Review, Table A1. Approximate Heat Content of Petroleum Products (jet fuel, kerosene type)</t>
  </si>
  <si>
    <t>Btu per gallon, jet fuel</t>
  </si>
  <si>
    <t>Komanoff assumption.</t>
  </si>
  <si>
    <t>Distillate Fuel</t>
  </si>
  <si>
    <t>U.S. diesel sales with carbon tax, million gallons</t>
  </si>
  <si>
    <t xml:space="preserve">Assumed price-elasticity of demand for diesel (long-run) </t>
  </si>
  <si>
    <t>lbs Carbon per gallon, diesel</t>
  </si>
  <si>
    <t>lbs CO2 per gallon, diesel</t>
  </si>
  <si>
    <t>Projected annual rate of real increase in average jet fuel price beyond 2010, w/o C tax</t>
  </si>
  <si>
    <r>
      <t>Which is equivalent to this many pounds of carbon (not CO2) per 10</t>
    </r>
    <r>
      <rPr>
        <vertAlign val="superscript"/>
        <sz val="9"/>
        <rFont val="Arial"/>
        <family val="2"/>
      </rPr>
      <t>6</t>
    </r>
    <r>
      <rPr>
        <sz val="9"/>
        <rFont val="Arial"/>
      </rPr>
      <t xml:space="preserve"> Btu:</t>
    </r>
  </si>
  <si>
    <t>lbs Carbon per gallon, jet fuel</t>
  </si>
  <si>
    <t>Jet Fuel: Carbon Dioxide (in kg) per gallon</t>
  </si>
  <si>
    <t>US EIA, "Voluntary Reporting of Greenhouse Gases Program, Fuel Emission Coefficients," &lt;http://205.254.135.24/oiaf/1605/coefficients.html&gt;</t>
  </si>
  <si>
    <t>Pipeline Natural Gas: Carbon Dioxide (in kg) per MMBtu (wghtd national avg)</t>
  </si>
  <si>
    <t>Total Fossil Fuel Consumption, Quads</t>
  </si>
  <si>
    <t>Natural Gas Consumption, Quads</t>
  </si>
  <si>
    <t>Coal Consumption, Quads</t>
  </si>
  <si>
    <t>Petroleum Consumption, Quads</t>
  </si>
  <si>
    <t>Fossil Fuels Consumed to Make Electricity, Quads</t>
  </si>
  <si>
    <t>Gasoline's carbon content per gallon, in grams</t>
  </si>
  <si>
    <t>Diesel fuel's carbon content per gallon, in grams:</t>
  </si>
  <si>
    <t>Jet fuel's carbon content per gallon, in grams:</t>
  </si>
  <si>
    <t>Fossil Fuels Consumed for Personal Ground Travel, Quads</t>
  </si>
  <si>
    <t>Fossil Fuels Consumed for Freight, Quads</t>
  </si>
  <si>
    <t>Fossil Fuels Consumed for Aviation, Quads</t>
  </si>
  <si>
    <t>Fossil Fuels Consumed for Other, Quads</t>
  </si>
  <si>
    <t>Btu/unit</t>
  </si>
  <si>
    <t>pound</t>
  </si>
  <si>
    <t>barrel</t>
  </si>
  <si>
    <t>cf</t>
  </si>
  <si>
    <t>Created for the Carbon Tax Center by Charles Komanoff</t>
  </si>
  <si>
    <t>This version of the model was created on:</t>
  </si>
  <si>
    <t xml:space="preserve">     or             or             or             or             or             or             or             or             or</t>
  </si>
  <si>
    <t>Amount by which $10/ton carbon tax raises price advantage of gas-fired combined cycle vs. coal:</t>
  </si>
  <si>
    <t>lb CO2 per kWh, @ 10,000 heat rate (from Komanoff "Carbon Contents" XLS).</t>
  </si>
  <si>
    <t>Effective tax year, number</t>
  </si>
  <si>
    <t xml:space="preserve">  from Personal Ground Travel </t>
  </si>
  <si>
    <t xml:space="preserve">  from Aviation </t>
  </si>
  <si>
    <t>Downloaded from http://www.bea.gov/bea/dn/gdplev.xls (accessed from http://www.bea.gov/index.htm)</t>
  </si>
  <si>
    <t>mer_dataT07.06</t>
  </si>
  <si>
    <t>mer_dataT09.09</t>
  </si>
  <si>
    <t>U.S. Statistical Abstract, Table 683. Average Annual Expenditures of All Consumer Units by Type of Expenditure</t>
  </si>
  <si>
    <t>Dollars</t>
  </si>
  <si>
    <t>Number of HH's</t>
  </si>
  <si>
    <t>U.S. Statistical Abstract, Table 683. Note that SA uses the expression "Consumer Unit" rather than HH.</t>
  </si>
  <si>
    <t>Household spending on electricity, billions</t>
  </si>
  <si>
    <t>GDP,  billions, 2009</t>
  </si>
  <si>
    <t>Electricity expenditures by U.S. end-users, billions, 2009</t>
  </si>
  <si>
    <t>Residential Retail Sales, GWh, 2009</t>
  </si>
  <si>
    <t>Residential share of Retail Sales, 2009</t>
  </si>
  <si>
    <t>Average residential retail price, per kWh, 2009</t>
  </si>
  <si>
    <t>Average annual expenditures per HH, 2008</t>
  </si>
  <si>
    <t>Average number persons per HH, 2008</t>
  </si>
  <si>
    <t xml:space="preserve">U.S. Statistical Abstract, Table 683. </t>
  </si>
  <si>
    <t>Per-HH expenditures on natural gas, 2008</t>
  </si>
  <si>
    <t>Per-HH expenditures on electricity, 2008</t>
  </si>
  <si>
    <t>Per-HH expenditures on fuel oil and other fuels, 2008</t>
  </si>
  <si>
    <t>Per-HH expenditures on gasoline and motor oil, 2008</t>
  </si>
  <si>
    <t>Per-HH expenditures on "transportation" (air travel?), 2008</t>
  </si>
  <si>
    <t>Household spending on natural gas, billions, 2008</t>
  </si>
  <si>
    <t>Household spending on electricity, billions, 2008</t>
  </si>
  <si>
    <t>Disposable Personal Income, billions, 2009</t>
  </si>
  <si>
    <t>U.S. Statistical Abstract, Table 677. Personal Income and Its Disposition. Note: 2008 = $10,806.</t>
  </si>
  <si>
    <t>U.S. Statistical Abstract, Table 677. Personal Income and Its Disposition. Note: 2008 = $10,130.</t>
  </si>
  <si>
    <t>Personal consumption expenditures, billions, 2009</t>
  </si>
  <si>
    <t>Household spending on fuel oil + other fuels, billions, 2008</t>
  </si>
  <si>
    <t>Household spending on gasoline + motor oil, billions, 2008</t>
  </si>
  <si>
    <t>Household spending on transportation (air travel?), billions, 2008</t>
  </si>
  <si>
    <t>Elasticities</t>
  </si>
  <si>
    <t>GDP in billions of chained 2005 dollars</t>
  </si>
  <si>
    <t>Avg Retail Price of Electricity, 2005 cents/kWh, including taxes</t>
  </si>
  <si>
    <t>Total Electricity End Use, GWh</t>
  </si>
  <si>
    <t>USEIA, Annual Energy Review, Table 8.9.</t>
  </si>
  <si>
    <t>USEIA, Annual Energy Review, Table 8.10. Uses GDP Deflator.</t>
  </si>
  <si>
    <t>GDP Growth</t>
  </si>
  <si>
    <t>Electricity Price Growth</t>
  </si>
  <si>
    <t>Electricity Use Growth</t>
  </si>
  <si>
    <t>SUMMARY OUTPUT</t>
  </si>
  <si>
    <t>Regression Statistics</t>
  </si>
  <si>
    <t>Multiple R</t>
  </si>
  <si>
    <t>R Square</t>
  </si>
  <si>
    <t>Adjusted R Square</t>
  </si>
  <si>
    <t>Standard Error</t>
  </si>
  <si>
    <t>Observations</t>
  </si>
  <si>
    <t>ANOVA</t>
  </si>
  <si>
    <t>Regression</t>
  </si>
  <si>
    <t>Residual</t>
  </si>
  <si>
    <t>Intercept</t>
  </si>
  <si>
    <t>df</t>
  </si>
  <si>
    <t>SS</t>
  </si>
  <si>
    <t>MS</t>
  </si>
  <si>
    <t>F</t>
  </si>
  <si>
    <t>Significance F</t>
  </si>
  <si>
    <t>Coefficients</t>
  </si>
  <si>
    <t>t Stat</t>
  </si>
  <si>
    <t>P-value</t>
  </si>
  <si>
    <t>Lower 95%</t>
  </si>
  <si>
    <t>Upper 95%</t>
  </si>
  <si>
    <t>Lower 95.0%</t>
  </si>
  <si>
    <t>Upper 95.0%</t>
  </si>
  <si>
    <t>RESIDUAL OUTPUT</t>
  </si>
  <si>
    <t>Observation</t>
  </si>
  <si>
    <t>Residuals</t>
  </si>
  <si>
    <t>1. Electricity</t>
  </si>
  <si>
    <t xml:space="preserve">Multiple regression of U.S. year-to-year electricity growth on GDP growth and electricity price growth indicated an income elasticity of 0.90 (with 95% confidence interval of 0.60 to 1.20). Price elasticity was not statistically significant, however. R Square for the regression was 0.584. Data series extended from 1970 (actually 1971, since year-on-year growth is the independent variable) through 2009. </t>
  </si>
  <si>
    <t>5-y Electricity Price Growth</t>
  </si>
  <si>
    <t>Multiple regression on the same 1971-2009 data series, but with a 5-year compound average increase in the real price, indicated an income elasticity of 0.89 (t statistic, 6.8). Price elasticity was negative 0.06 but was statistically insignificant, with a t-statistic of -0.54.</t>
  </si>
  <si>
    <t>Predicted 0.0295570521777269</t>
  </si>
  <si>
    <t>Multiple regression on 1990-2009 data, with real price growth taken as a 5-year compound average, indicated an income elasticity of 0.60 (t statistic, 2.82). Price elasticity was negative 0.23 but was not statistically significant, with a t-statistic of -1.02.</t>
  </si>
  <si>
    <t>Price</t>
  </si>
  <si>
    <t>Income</t>
  </si>
  <si>
    <t>All figures are in billions of dollars</t>
  </si>
  <si>
    <t xml:space="preserve">U.S. electricity end use (TWh), without carbon tax </t>
  </si>
  <si>
    <t>U.S. spending on gasoline, billions, 2008</t>
  </si>
  <si>
    <r>
      <t>Product of year's daily-average gasoline consumption (EIA/MER) and average retail price (</t>
    </r>
    <r>
      <rPr>
        <u/>
        <sz val="8"/>
        <rFont val="Arial"/>
        <family val="2"/>
      </rPr>
      <t>Ibid.</t>
    </r>
    <r>
      <rPr>
        <sz val="8"/>
        <rFont val="Arial"/>
        <family val="2"/>
      </rPr>
      <t>)</t>
    </r>
  </si>
  <si>
    <t>Household share of gasoline expenditures, 2009</t>
  </si>
  <si>
    <t>Gasoline (Personal Ground Travel)</t>
  </si>
  <si>
    <t>Average retail gasoline price, per gallon, with carbon tax</t>
  </si>
  <si>
    <t>Average retail diesel price, per gallon, with carbon tax</t>
  </si>
  <si>
    <t>Average user price of "other" fuel, per million Btu, with carbon tax</t>
  </si>
  <si>
    <r>
      <t xml:space="preserve">A. Select </t>
    </r>
    <r>
      <rPr>
        <b/>
        <u/>
        <sz val="9"/>
        <rFont val="Arial"/>
        <family val="2"/>
      </rPr>
      <t>initial carbon tax</t>
    </r>
    <r>
      <rPr>
        <b/>
        <sz val="9"/>
        <rFont val="Arial"/>
        <family val="2"/>
      </rPr>
      <t>, per ton of carbon dioxide emitted (not carbon)</t>
    </r>
  </si>
  <si>
    <t>Diesel</t>
  </si>
  <si>
    <t>Aviation fuel</t>
  </si>
  <si>
    <t>YES</t>
  </si>
  <si>
    <t>NO</t>
  </si>
  <si>
    <r>
      <t xml:space="preserve">Share of U.S. distillate used as diesel fuel for freight movement </t>
    </r>
    <r>
      <rPr>
        <sz val="8"/>
        <rFont val="Arial"/>
        <family val="2"/>
      </rPr>
      <t>(KEA est.)</t>
    </r>
  </si>
  <si>
    <t>Diesel (Freight)</t>
  </si>
  <si>
    <t>Household share of diesel fuel expenditures, 2009</t>
  </si>
  <si>
    <t>Jet Fuel (Aviation)</t>
  </si>
  <si>
    <t>Revenue, U.S. Airline Industry, 2009, billions</t>
  </si>
  <si>
    <t>U.S. Statistical Abstract, Table 1072, U.S. Scheduled Airline Industry.</t>
  </si>
  <si>
    <t>Same, but for cargo only</t>
  </si>
  <si>
    <t>Passenger share</t>
  </si>
  <si>
    <t>Assumed % of the above that is household-based rather than business</t>
  </si>
  <si>
    <t>Household share of jet fuel expenditures</t>
  </si>
  <si>
    <t>Household share of 'other' fuel expenditures</t>
  </si>
  <si>
    <t>Actual</t>
  </si>
  <si>
    <t>Projected</t>
  </si>
  <si>
    <t>Change in CO2 in that year, relative to same year's CO2 if no carbon tax, expressed as a percent.</t>
  </si>
  <si>
    <t>Tax Revenues, $ billions</t>
  </si>
  <si>
    <t xml:space="preserve">Multiple regression on same data series, but with 5-y compound avg incrs in real price, so that data extended from 1975 through 2009, indicated income elasticity of 0.85 (95% confidence interval of 0.59 to 1.11). Price elasticity was not statistically significant; coefficient was negative 0.055, but 95% confidence interval ranged from negative 0.27 to positive 0.16. R Square for regression was 0.589. </t>
  </si>
  <si>
    <t>[Note: This page will be relegated to back of file, or removed altogether. -- CK]</t>
  </si>
  <si>
    <t>Change in CO2 due to carbon tax, million metric tons, relative to moving trajectory</t>
  </si>
  <si>
    <t>J Handley wrote to CK, on 27-Sept-2011: Metcalf modeled an $18/T CO2 tax (rising 4% real).  He estimated 14% reductions after one year, comprised of 49% reductions in the non-CO2 GHGs and 8.4% CO2 reductions.  (But non-CO2 GHG's represent only ~20% of CO2-eq.)  See "Proposal for Carbon Tax Swap" p 12. 
&lt;http://www.brookings.edu/~/media/Files/rc/papers/2007/10carbontax_metcalf/10_carbontax_metcalf.pdf&gt;</t>
  </si>
  <si>
    <t>This worksheet has not been updated since 2009.</t>
  </si>
  <si>
    <t>Re-Spending</t>
  </si>
  <si>
    <t>[This worksheet, created Sept 2011, requires major reformatting + documentation.]</t>
  </si>
  <si>
    <t>Emissions</t>
  </si>
  <si>
    <t>GHG's</t>
  </si>
  <si>
    <r>
      <t xml:space="preserve">Also select which fuels are subject to this (optional) surtax </t>
    </r>
    <r>
      <rPr>
        <sz val="8"/>
        <rFont val="Arial"/>
        <family val="2"/>
      </rPr>
      <t>(all are subject to carbon tax, regardless)</t>
    </r>
  </si>
  <si>
    <t>Great. You should now be ready to go.</t>
  </si>
  <si>
    <t>Before you begin, please take these 7 quick steps to ensure that your
Excel program can handle the mathematical interactivity built into the model.</t>
  </si>
  <si>
    <t>Results</t>
  </si>
  <si>
    <t>Freight (Goods Movement)</t>
  </si>
  <si>
    <t>2. Annual Emissions</t>
  </si>
  <si>
    <t>User Selected Carbon Emissions Price</t>
  </si>
  <si>
    <t>If you're running Excel-2007 or later:</t>
  </si>
  <si>
    <t>If you're running Excel-2003 or earlier:</t>
  </si>
  <si>
    <r>
      <t>Click the</t>
    </r>
    <r>
      <rPr>
        <b/>
        <sz val="9"/>
        <rFont val="Arial"/>
        <family val="2"/>
      </rPr>
      <t xml:space="preserve"> </t>
    </r>
    <r>
      <rPr>
        <b/>
        <sz val="9"/>
        <color indexed="63"/>
        <rFont val="Arial"/>
        <family val="2"/>
      </rPr>
      <t xml:space="preserve">Microsoft Office Button </t>
    </r>
    <r>
      <rPr>
        <sz val="9"/>
        <color indexed="63"/>
        <rFont val="Arial"/>
        <family val="2"/>
      </rPr>
      <t>in the far upper left-hand corner of your screen.</t>
    </r>
  </si>
  <si>
    <r>
      <t xml:space="preserve">A new window will appear on your screen. At the very bottom of the window, click </t>
    </r>
    <r>
      <rPr>
        <b/>
        <sz val="9"/>
        <rFont val="Arial"/>
        <family val="2"/>
      </rPr>
      <t>Excel Options.</t>
    </r>
  </si>
  <si>
    <r>
      <t xml:space="preserve">In left-hand column, near the top, click </t>
    </r>
    <r>
      <rPr>
        <b/>
        <sz val="9"/>
        <rFont val="Arial"/>
        <family val="2"/>
      </rPr>
      <t>Formulas</t>
    </r>
    <r>
      <rPr>
        <sz val="9"/>
        <rFont val="Arial"/>
      </rPr>
      <t>.</t>
    </r>
  </si>
  <si>
    <r>
      <t xml:space="preserve">In </t>
    </r>
    <r>
      <rPr>
        <b/>
        <sz val="9"/>
        <color indexed="63"/>
        <rFont val="Arial"/>
        <family val="2"/>
      </rPr>
      <t>Calculation options</t>
    </r>
    <r>
      <rPr>
        <sz val="9"/>
        <color indexed="63"/>
        <rFont val="Arial"/>
        <family val="2"/>
      </rPr>
      <t xml:space="preserve"> section, select </t>
    </r>
    <r>
      <rPr>
        <b/>
        <sz val="9"/>
        <color indexed="63"/>
        <rFont val="Arial"/>
        <family val="2"/>
      </rPr>
      <t>Enable iterative calculation</t>
    </r>
    <r>
      <rPr>
        <sz val="9"/>
        <color indexed="63"/>
        <rFont val="Arial"/>
        <family val="2"/>
      </rPr>
      <t xml:space="preserve"> check box.</t>
    </r>
  </si>
  <si>
    <r>
      <t xml:space="preserve">Set </t>
    </r>
    <r>
      <rPr>
        <b/>
        <sz val="9"/>
        <rFont val="Arial"/>
        <family val="2"/>
      </rPr>
      <t>maximum number of iterations</t>
    </r>
    <r>
      <rPr>
        <sz val="9"/>
        <rFont val="Arial"/>
      </rPr>
      <t xml:space="preserve"> to 100.</t>
    </r>
  </si>
  <si>
    <r>
      <t xml:space="preserve">Set </t>
    </r>
    <r>
      <rPr>
        <b/>
        <sz val="9"/>
        <rFont val="Arial"/>
        <family val="2"/>
      </rPr>
      <t xml:space="preserve">maximum change </t>
    </r>
    <r>
      <rPr>
        <sz val="9"/>
        <rFont val="Arial"/>
      </rPr>
      <t>box to 0.001.</t>
    </r>
  </si>
  <si>
    <r>
      <t>Press OK</t>
    </r>
    <r>
      <rPr>
        <sz val="9"/>
        <rFont val="Arial"/>
      </rPr>
      <t xml:space="preserve"> at the bottom.</t>
    </r>
  </si>
  <si>
    <r>
      <t xml:space="preserve">Go to </t>
    </r>
    <r>
      <rPr>
        <sz val="9"/>
        <rFont val="Arial"/>
      </rPr>
      <t xml:space="preserve">Excel </t>
    </r>
    <r>
      <rPr>
        <b/>
        <sz val="9"/>
        <rFont val="Arial"/>
        <family val="2"/>
      </rPr>
      <t>Options</t>
    </r>
    <r>
      <rPr>
        <sz val="9"/>
        <rFont val="Arial"/>
      </rPr>
      <t xml:space="preserve">, which should be in your Excel toolbar under the </t>
    </r>
    <r>
      <rPr>
        <b/>
        <sz val="9"/>
        <rFont val="Arial"/>
        <family val="2"/>
      </rPr>
      <t>Tools</t>
    </r>
    <r>
      <rPr>
        <sz val="9"/>
        <rFont val="Arial"/>
      </rPr>
      <t xml:space="preserve"> menu choice.</t>
    </r>
    <r>
      <rPr>
        <sz val="9"/>
        <rFont val="Arial"/>
      </rPr>
      <t/>
    </r>
  </si>
  <si>
    <r>
      <t xml:space="preserve">Click on </t>
    </r>
    <r>
      <rPr>
        <b/>
        <sz val="9"/>
        <rFont val="Arial"/>
        <family val="2"/>
      </rPr>
      <t>Options</t>
    </r>
    <r>
      <rPr>
        <sz val="9"/>
        <rFont val="Arial"/>
      </rPr>
      <t xml:space="preserve">, and navigate to the tab called </t>
    </r>
    <r>
      <rPr>
        <b/>
        <sz val="9"/>
        <rFont val="Arial"/>
        <family val="2"/>
      </rPr>
      <t xml:space="preserve">Calculation. </t>
    </r>
  </si>
  <si>
    <r>
      <t xml:space="preserve">Under </t>
    </r>
    <r>
      <rPr>
        <b/>
        <sz val="9"/>
        <rFont val="Arial"/>
        <family val="2"/>
      </rPr>
      <t>Calculation options</t>
    </r>
    <r>
      <rPr>
        <sz val="9"/>
        <rFont val="Arial"/>
      </rPr>
      <t xml:space="preserve">, select </t>
    </r>
    <r>
      <rPr>
        <b/>
        <sz val="9"/>
        <rFont val="Arial"/>
        <family val="2"/>
      </rPr>
      <t>Iterations</t>
    </r>
    <r>
      <rPr>
        <sz val="9"/>
        <rFont val="Arial"/>
      </rPr>
      <t xml:space="preserve"> check box (may be called </t>
    </r>
    <r>
      <rPr>
        <b/>
        <sz val="9"/>
        <rFont val="Arial"/>
        <family val="2"/>
      </rPr>
      <t>Enable iterative calculation</t>
    </r>
    <r>
      <rPr>
        <sz val="9"/>
        <rFont val="Arial"/>
      </rPr>
      <t>).</t>
    </r>
  </si>
  <si>
    <r>
      <t xml:space="preserve">Set the </t>
    </r>
    <r>
      <rPr>
        <b/>
        <sz val="9"/>
        <rFont val="Arial"/>
        <family val="2"/>
      </rPr>
      <t>maximum number of iterations</t>
    </r>
    <r>
      <rPr>
        <sz val="9"/>
        <rFont val="Arial"/>
      </rPr>
      <t xml:space="preserve"> to 100.</t>
    </r>
  </si>
  <si>
    <r>
      <t xml:space="preserve">Set the </t>
    </r>
    <r>
      <rPr>
        <b/>
        <sz val="9"/>
        <rFont val="Arial"/>
        <family val="2"/>
      </rPr>
      <t xml:space="preserve">maximum change </t>
    </r>
    <r>
      <rPr>
        <sz val="9"/>
        <rFont val="Arial"/>
      </rPr>
      <t>box to 0.001.</t>
    </r>
  </si>
  <si>
    <r>
      <t>Press OK</t>
    </r>
    <r>
      <rPr>
        <sz val="9"/>
        <rFont val="Arial"/>
      </rPr>
      <t xml:space="preserve"> and begin.</t>
    </r>
    <r>
      <rPr>
        <b/>
        <sz val="10"/>
        <rFont val="Arial"/>
        <family val="2"/>
      </rPr>
      <t/>
    </r>
  </si>
  <si>
    <t>Petroleum Consumption, thousand bbl/day</t>
  </si>
  <si>
    <t>WITH CARBON TAX</t>
  </si>
  <si>
    <t>WITHOUT CARBON TAX</t>
  </si>
  <si>
    <t>Projected oil requirements w/ tax shown, vis-à-vis actual in 2005:</t>
  </si>
  <si>
    <t>Projected oil requirements relative to 2020 if no carbon price:</t>
  </si>
  <si>
    <t>Magenta-colored cells may be entered by you, the user. LEAVE OTHER CELLS ALONE, to avoid inadvertently altering the formulas that determine their value.</t>
  </si>
  <si>
    <r>
      <t xml:space="preserve">Elasticities </t>
    </r>
    <r>
      <rPr>
        <sz val="9"/>
        <rFont val="Arial"/>
      </rPr>
      <t>(documentation of this section, to come)</t>
    </r>
  </si>
  <si>
    <t>Carbon Tax Revenues, $ billions</t>
  </si>
  <si>
    <t>Gasoline Surcharge Revenues, $ billions (w/o carbon tax component)</t>
  </si>
  <si>
    <t>Carbon Tax Revenues, $ billions (w/o gasoline surtax component)</t>
  </si>
  <si>
    <t>Diesel Surcharge Revenues, $ billions (w/o carbon tax component)</t>
  </si>
  <si>
    <t>Carbon Tax Revenues, $ billions (w/o diesel surtax component)</t>
  </si>
  <si>
    <t>Cumulative Tax Revenues, $ billions</t>
  </si>
  <si>
    <t xml:space="preserve">Annual Carbon Tax Dividend per capita </t>
  </si>
  <si>
    <t>H.R. 2454 (Waxman-Markey), downloaded 3-July-2009 via http://frwebgate.access.gpo.gov/cgi-bin/getdoc.cgi?dbname=111_cong_bills&amp;docid=f:h2454eh.txt.pdf</t>
  </si>
  <si>
    <t>CO2 EMISSIONS WITHOUT CARBON TAX (used to derive petroleum figures, further below)</t>
  </si>
  <si>
    <t xml:space="preserve">Personal Ground Travel </t>
  </si>
  <si>
    <t>Petroleum Impacts of the Carbon Tax, thousand bbl/day</t>
  </si>
  <si>
    <t>11-Oct-2012: See also http://www.epa.gov/climatechange/ghgemissions/usinventoryreport.html</t>
  </si>
  <si>
    <t>Downloads of Oct 11, 2012</t>
  </si>
  <si>
    <t>See also http://www.epa.gov/climatechange/ghgemissions/usinventoryreport.html</t>
  </si>
  <si>
    <t>http://www.eia.gov/oiaf/1605/ggrpt/carbon.html</t>
  </si>
  <si>
    <t>http://www.epa.gov/climatechange/Downloads/ghgemissions/US-GHG-Inventory-2012-Main-Text.pdf</t>
  </si>
  <si>
    <t>(entire EPA inventory, 16.6 MB)</t>
  </si>
  <si>
    <t>http://www.eia.gov/todayinenergy/detail.cfm?id=7350</t>
  </si>
  <si>
    <t>[re: 1Q 2012 drop in CO2]</t>
  </si>
  <si>
    <t>http://www.eia.gov/environment/emissions/ghg_report/</t>
  </si>
  <si>
    <t>This March 2011 report is the final in the series, which has been discontinued.</t>
  </si>
  <si>
    <r>
      <t xml:space="preserve">International Bunker Fuels </t>
    </r>
    <r>
      <rPr>
        <sz val="8"/>
        <rFont val="Arial"/>
        <family val="2"/>
      </rPr>
      <t>(Table ES-2)</t>
    </r>
  </si>
  <si>
    <r>
      <t xml:space="preserve">from Electricity Generation </t>
    </r>
    <r>
      <rPr>
        <sz val="9"/>
        <rFont val="Arial"/>
      </rPr>
      <t>(Table ES-2; also 2-13)</t>
    </r>
  </si>
  <si>
    <t>Petroleum Liquids</t>
  </si>
  <si>
    <t>All 3 Fossil Fuels</t>
  </si>
  <si>
    <t>Year-to-year change</t>
  </si>
  <si>
    <t>Annualized change from 2005</t>
  </si>
  <si>
    <t>Pounds CO2 per kWh generated</t>
  </si>
  <si>
    <t>Don't use figures in next row, since exclude MSW</t>
  </si>
  <si>
    <t>Use figures in above row, since include MSW</t>
  </si>
  <si>
    <t>Conversions</t>
  </si>
  <si>
    <t>E. Now select time period over which tax is to be applied</t>
  </si>
  <si>
    <t>This area is a "space filler" (material to enable subsequent worksheets' configuration to track this one) that sheds light on an important issue: inter-fuel competition within the electricity sector. Figures in this area have no effect on results.</t>
  </si>
  <si>
    <r>
      <t xml:space="preserve">Net Electricity Generation, TWh </t>
    </r>
    <r>
      <rPr>
        <sz val="9"/>
        <rFont val="Arial"/>
      </rPr>
      <t>(MER, Table 7.2a)</t>
    </r>
  </si>
  <si>
    <t>Real</t>
  </si>
  <si>
    <t>Electricity Prices, Usage, Generation and Carbon Intensity, without carbon tax</t>
  </si>
  <si>
    <t>Average factor by which CO2 lb/kWh ratio has changed yr-to-yr, 2005-2011</t>
  </si>
  <si>
    <t>Assumed multiplier to that increase rate going forward, if no carbon price</t>
  </si>
  <si>
    <t>CO2 emissions, lb/kWh generated, w/o carbon tax</t>
  </si>
  <si>
    <t>CO2 emissions, lb/kWh generated, w/ carbon tax</t>
  </si>
  <si>
    <t>Baseline annual factor ratio in CO2 emissions, lb/kWh, if zero price on carbon</t>
  </si>
  <si>
    <t>Falls over time as tax moves generators to reduce carbon-intensity of generation.</t>
  </si>
  <si>
    <t>Carbon charge per kWh delivered, in ¢/kWh</t>
  </si>
  <si>
    <t xml:space="preserve">Avg Retail Price of Electricity with carbon tax, in 2012 dollars </t>
  </si>
  <si>
    <t>Carbon Tax Revenues, $ billions (nominal dollars, i.e., not adjusted for inflation)</t>
  </si>
  <si>
    <t>Assumed price-elasticity of electricity demand (long-run)</t>
  </si>
  <si>
    <t>NB: 2011, not 2012.</t>
  </si>
  <si>
    <t>% increase in U.S. avg real (inflation-adjusted) retail price of electricity over prior year</t>
  </si>
  <si>
    <t>Equates to following per-yr reduxn in CO2/kWh:</t>
  </si>
  <si>
    <t>Annual Energy Outlook</t>
  </si>
  <si>
    <t>GDP chain-type price index (2005 = 1.000)</t>
  </si>
  <si>
    <t>Prices (2011 $)</t>
  </si>
  <si>
    <t>W Texas intermediate spot crude oil ($/bbl)</t>
  </si>
  <si>
    <t>Natural gas at Henry Hub ($/million Btu)</t>
  </si>
  <si>
    <t>Domestic coal at minemouth ($/ton)</t>
  </si>
  <si>
    <t>Brent spot crude oil ($/bbl)</t>
  </si>
  <si>
    <t>Real disposable personal income, billions (2005$)</t>
  </si>
  <si>
    <t>Value of industrial shipments, billions (2005$)</t>
  </si>
  <si>
    <t>Economic Indicators (2011 $)</t>
  </si>
  <si>
    <t>AEO 2013 Reference Case</t>
  </si>
  <si>
    <t>Real GDP, billions (2005$)</t>
  </si>
  <si>
    <t>Actual (per AEO)</t>
  </si>
  <si>
    <t>Actual (C.K.)</t>
  </si>
  <si>
    <t>GDP is from BLS. Price index ratios AEO's 2011 by ratio of 2012 to 2011 CPI.</t>
  </si>
  <si>
    <t>2025 vs. 2012</t>
  </si>
  <si>
    <t>2035 vs. 2025</t>
  </si>
  <si>
    <t>2040 vs. 2035</t>
  </si>
  <si>
    <t>2025 vs. 2011</t>
  </si>
  <si>
    <t>Implied AEO Annual Change Ratios</t>
  </si>
  <si>
    <t>(Example: with compound growth rate of 10%, along with initial tax rate of $10, the second-year tax rate would be $11.00, third-year rate $12.10, next year $13.31, etc.)</t>
  </si>
  <si>
    <t>Average Retail Price of Electricity (¢/kWh)</t>
  </si>
  <si>
    <t>Average Retail Price of Electricity (¢/kWh), with carbon tax, in nominal terms (unadj'd)</t>
  </si>
  <si>
    <t>Average electricity price (¢/kWh)</t>
  </si>
  <si>
    <t>Monthly Energy Review, T09.09, downloaded 08-Mar-13. 2012 is adjusted downward (slightly) from 11-month avg of 9.854 (Dec. rates are seasonally below avg).</t>
  </si>
  <si>
    <t>Ratio of Real Avg Retail Price per kWh to Prior Year's (w/o carbon tax)</t>
  </si>
  <si>
    <t xml:space="preserve">Ratio of Real General Price Index to Prior Year's </t>
  </si>
  <si>
    <t>Avg Retail Electricity Price (¢/kWh) w/o carbon tax, nominal (w/ inflation)</t>
  </si>
  <si>
    <r>
      <t xml:space="preserve">CTC assumptions, derived from literature review (principally Bohi, </t>
    </r>
    <r>
      <rPr>
        <i/>
        <sz val="8"/>
        <rFont val="Arial"/>
        <family val="2"/>
      </rPr>
      <t>Analyzing Demand Behavior</t>
    </r>
    <r>
      <rPr>
        <sz val="8"/>
        <rFont val="Arial"/>
        <family val="2"/>
      </rPr>
      <t>). See CTC Web page, http://www.carbontax.org/issues/energy-demand-how-sensitive-to-price/, for discussion including elasticities for other sectors.</t>
    </r>
  </si>
  <si>
    <t>Avg for 7 yrs shown:</t>
  </si>
  <si>
    <r>
      <t xml:space="preserve">Tax in year shown, per ton of CO2 emitted. </t>
    </r>
    <r>
      <rPr>
        <sz val="8"/>
        <rFont val="Arial"/>
        <family val="2"/>
      </rPr>
      <t>May be in either nominal or real dollars. (If latter, ad'ment to nominal is done in next row).</t>
    </r>
  </si>
  <si>
    <t>By statute</t>
  </si>
  <si>
    <t>Tax charged in year shown, per ton of CO2 emitted.</t>
  </si>
  <si>
    <t>In 2010 dollars</t>
  </si>
  <si>
    <t>2035 vs. 2010</t>
  </si>
  <si>
    <t>Is year equal to or greater than final tax year?</t>
  </si>
  <si>
    <t>Is year equal to or greater than tax-start year?</t>
  </si>
  <si>
    <r>
      <t xml:space="preserve">In nominal $$ </t>
    </r>
    <r>
      <rPr>
        <b/>
        <sz val="9"/>
        <rFont val="Calibri"/>
        <family val="2"/>
      </rPr>
      <t>—</t>
    </r>
    <r>
      <rPr>
        <b/>
        <sz val="9"/>
        <rFont val="Arial"/>
        <family val="2"/>
      </rPr>
      <t xml:space="preserve"> the actual levied tax</t>
    </r>
  </si>
  <si>
    <t>http://www.eia.gov/forecasts/aeo/er/table1.cfm</t>
  </si>
  <si>
    <t>AEO2013 Early Release Overview</t>
  </si>
  <si>
    <t>Why? Since the model is written dynamically and interactively, you must configure Excel to feed cell outputs back into other cells. Otherwise, the model may return "circular formulas" with blank or incorrect results.</t>
  </si>
  <si>
    <r>
      <t>Carbon emission charge per kWh generated</t>
    </r>
    <r>
      <rPr>
        <sz val="9"/>
        <rFont val="Arial"/>
      </rPr>
      <t xml:space="preserve">, </t>
    </r>
    <r>
      <rPr>
        <sz val="9"/>
        <rFont val="Calibri"/>
        <family val="2"/>
      </rPr>
      <t>¢</t>
    </r>
    <r>
      <rPr>
        <sz val="9"/>
        <rFont val="Arial"/>
      </rPr>
      <t>/kWh (w/ the tax)</t>
    </r>
  </si>
  <si>
    <t>To e-mail Komanoff, click:</t>
  </si>
  <si>
    <t xml:space="preserve">For more on the Carbon Tax Center, click: </t>
  </si>
  <si>
    <t>kea@igc.org</t>
  </si>
  <si>
    <t>here</t>
  </si>
  <si>
    <r>
      <t xml:space="preserve">Emissions are expressed in CO2 (rather than carbon) and, for the most part, in metric terms. However, carbon tax </t>
    </r>
    <r>
      <rPr>
        <i/>
        <sz val="9"/>
        <rFont val="Arial"/>
        <family val="2"/>
      </rPr>
      <t>rate</t>
    </r>
    <r>
      <rPr>
        <sz val="9"/>
        <rFont val="Arial"/>
      </rPr>
      <t xml:space="preserve"> is inputted in dollars per British (short) tons of CO2, not metric tons (tonnes).</t>
    </r>
  </si>
  <si>
    <t>Is included because it figures in estimation of impact of carbon tax on energy demand and supply in "sector" tabs.</t>
  </si>
  <si>
    <t>Figures in column  correspond to est'd data.</t>
  </si>
  <si>
    <t>Vis-à-vis actual 2005 emissions:</t>
  </si>
  <si>
    <t>for 2020</t>
  </si>
  <si>
    <t>in Tax's 10th Year</t>
  </si>
  <si>
    <t>Vis-à-vis what emissions will be without a carbon price:</t>
  </si>
  <si>
    <t xml:space="preserve">1A. CO2 Emission Projections </t>
  </si>
  <si>
    <t>Vis-à-vis actual 2005 requirements:</t>
  </si>
  <si>
    <t>Vis-à-vis what requirements will be without a carbon price:</t>
  </si>
  <si>
    <r>
      <t xml:space="preserve">Tax in year shown, per </t>
    </r>
    <r>
      <rPr>
        <u/>
        <sz val="9"/>
        <color indexed="12"/>
        <rFont val="Arial"/>
        <family val="2"/>
      </rPr>
      <t>metric</t>
    </r>
    <r>
      <rPr>
        <sz val="9"/>
        <color indexed="12"/>
        <rFont val="Arial"/>
        <family val="2"/>
      </rPr>
      <t xml:space="preserve"> ton of carbon dioxide emitted (with inflation adjustment, if any; shown for reference, only)</t>
    </r>
  </si>
  <si>
    <t>Tax equivalent per gallon of gasoline</t>
  </si>
  <si>
    <r>
      <t xml:space="preserve">D. Now select surtax rate, if any, on certain liquid fuels </t>
    </r>
    <r>
      <rPr>
        <sz val="9"/>
        <rFont val="Arial"/>
      </rPr>
      <t>(in ¢/gal, to be applied in tax's initial year):</t>
    </r>
  </si>
  <si>
    <t>Default is &lt;Nominal&gt;. Enter &lt;Real&gt; to instead index carbon tax to inflation.</t>
  </si>
  <si>
    <r>
      <t xml:space="preserve">Year in which tax takes effect </t>
    </r>
    <r>
      <rPr>
        <sz val="8"/>
        <rFont val="Arial"/>
        <family val="2"/>
      </rPr>
      <t>(tax is assumed to begin Jan. 1, hence it 'covers' full year; must exceed 2012)</t>
    </r>
  </si>
  <si>
    <r>
      <t xml:space="preserve">Last year in which tax level is incremented </t>
    </r>
    <r>
      <rPr>
        <sz val="8"/>
        <rFont val="Arial"/>
        <family val="2"/>
      </rPr>
      <t>(after which tax remains in effect at level reached in year selected)</t>
    </r>
  </si>
  <si>
    <t>Total tax per gallon of gasoline</t>
  </si>
  <si>
    <t>Tax equivalent per ton of CO2</t>
  </si>
  <si>
    <t>Surtax per gallon (applies if and only if carbon tax is surtaxed; figure at right is for initial year)</t>
  </si>
  <si>
    <t>Surtax equivalent per ton of CO2</t>
  </si>
  <si>
    <t>Average retail gasoline price, per gallon, without carbon tax</t>
  </si>
  <si>
    <t>Percent change in gasoline usage, relative to ongoing trend w/o carbon tax</t>
  </si>
  <si>
    <t>Change in CO2 due to tax, million metric tons, relative to moving trajectory</t>
  </si>
  <si>
    <t>Change in CO2 due to tax, million metric tons, relative to 2005 emissions</t>
  </si>
  <si>
    <t>1B. Petroleum Requirements</t>
  </si>
  <si>
    <t>From &lt;http://www.epa.gov/ttn/chief/eiip/techreport/volume08/viii01.pdf&gt;.</t>
  </si>
  <si>
    <t>Historical Data</t>
  </si>
  <si>
    <r>
      <t xml:space="preserve">Calculated from Komanoff spreadsheet, "Price-Elasticity of Gasoline Demand," accessible via &lt;http://www.komanoff.net/oil_9_11/&gt;. Go to </t>
    </r>
    <r>
      <rPr>
        <b/>
        <sz val="8"/>
        <rFont val="Arial"/>
        <family val="2"/>
      </rPr>
      <t>Full-Year Comparison</t>
    </r>
    <r>
      <rPr>
        <sz val="8"/>
        <rFont val="Arial"/>
        <family val="2"/>
      </rPr>
      <t xml:space="preserve"> page.</t>
    </r>
  </si>
  <si>
    <t>Historical Real Annual Increase Rate in U.S. Average Gasoline Price, 1990-2012:</t>
  </si>
  <si>
    <t>Assumed multiplier to that rate, for projecting future real increase in gasoline price after 2012:</t>
  </si>
  <si>
    <t>Projected annual rate of real increase in average gasoline price beyond 2012, w/o C tax</t>
  </si>
  <si>
    <t>Assumed reduxn in per-gallon CO2 emission rate per</t>
  </si>
  <si>
    <t>CTC estimate, intended to reflect increased penetration of biofuels, hydrogen, etc. as carbon component of gasoline grows more costly. Ideally, would be modeled with time lag. Note that reduction is assumed to persist despite eventual leveling of carbon tax.</t>
  </si>
  <si>
    <t>Total Tax Revenues, $ billions (combined carbon tax + gasoline surcharge)</t>
  </si>
  <si>
    <t>First-year tax per ton of CO2</t>
  </si>
  <si>
    <t xml:space="preserve">How tax will be incremented </t>
  </si>
  <si>
    <t>Annual rate of increment</t>
  </si>
  <si>
    <t>Are above rates nominal or real?</t>
  </si>
  <si>
    <t>Tax equivalent per gallon of diesel</t>
  </si>
  <si>
    <t>Total tax per gallon of diesel</t>
  </si>
  <si>
    <t>Million Btu per barrel, diesel</t>
  </si>
  <si>
    <t>Btu per gallon, diesel</t>
  </si>
  <si>
    <t>Assumed multiplier to that rate, for projecting future real increase in diesel price after 2012:</t>
  </si>
  <si>
    <t>Projected annual rate of real increase in average diesel price beyond 2012, w/o C tax</t>
  </si>
  <si>
    <t>CTC estimate, intended to reflect increased penetration of biofuels, hydrogen, etc. as carbon component of diesel grows more costly. Ideally, would be modeled with time lag. Note that reduction is assumed to persist despite eventual leveling of carbon tax.</t>
  </si>
  <si>
    <t>Total Tax Revenues, $ billions (combined carbon tax + diesel surcharge)</t>
  </si>
  <si>
    <t>U.S. Diesel 000 bbls/day</t>
  </si>
  <si>
    <t>U.S. Diesel 000 bbls (entire year)</t>
  </si>
  <si>
    <t>U.S. Diesel, million gallons</t>
  </si>
  <si>
    <t>Historical Real Annual Increase Rate in U.S. Average Diesel Price, 1990-2012:</t>
  </si>
  <si>
    <t>Diesel usage, million gallons, w/o carbon tax</t>
  </si>
  <si>
    <t>Average retail diesel price, per gallon, without carbon tax (excludes state and local taxes)</t>
  </si>
  <si>
    <t>Average federal, state and local taxes on diesel fuel, per gallon</t>
  </si>
  <si>
    <t>Historical values are derived from 1-1-13 U.S. average of 54.4 cents/gal in American Petroleum Institute, "Notes To State Motor Fuel Excise And Other Taxes," available at &lt;http://www.api.org/oil-and-natural-gas-overview/industry-economics/~/media/Files/Statistics/State_Motor_Fuel_Excise_Tax_Update.ashx&gt;. We reduce that value by $.01 for each prior year, while increasing future values at projected rate of general inflation.</t>
  </si>
  <si>
    <t>Figures in column  correspond to est'd or actual data.</t>
  </si>
  <si>
    <t>CO2 emissions from diesel fuel use, millions metric tons, w/ tax</t>
  </si>
  <si>
    <t>Average retail gasoline price, per gallon, with carbon tax, in 2012 dollars</t>
  </si>
  <si>
    <t>Average retail gasoline price, per gallon, without carbon tax, in 2012 dollars</t>
  </si>
  <si>
    <t>Average retail diesel fuel price, per gallon, with carbon tax, in 2012 dollars</t>
  </si>
  <si>
    <t>Tax equivalent per gallon of jet fuel</t>
  </si>
  <si>
    <t>Total tax per gallon of jet fuel</t>
  </si>
  <si>
    <t>U.S. Jet Fuel, million gallons</t>
  </si>
  <si>
    <t>U.S. Jet Fuel 000 bbls/day</t>
  </si>
  <si>
    <t>[left blank]</t>
  </si>
  <si>
    <t>Calculated by compounding ratio of 2012 jet fuel price (actually, first 11 months only) to 1990 price, both from Monthly Energy Review Table 9.7, Item, 'Refiner Price of Kerosene-Type Jet Fuel to End Users,', after deflating that price ratio by CPI, All Urban Consumers.</t>
  </si>
  <si>
    <t>Multiplier to that rate, for projecting future real increase in jet fuel price after 2012:</t>
  </si>
  <si>
    <t>Komanoff assumption, on premise that some of the historical increase was due to cleaner-fuel (lower-sulfur) requirements that may not persist at same intensity.</t>
  </si>
  <si>
    <t>Reduxn in per-gallon CO2 emission rate per</t>
  </si>
  <si>
    <t>Average combined federal, state and local taxes on jet fuel, per gallon</t>
  </si>
  <si>
    <t>Average "retail" jet fuel price, per gallon, with carbon tax</t>
  </si>
  <si>
    <r>
      <t xml:space="preserve">Assumed to be half again as great as that for gasoline, which is referenced in corresponding row in </t>
    </r>
    <r>
      <rPr>
        <b/>
        <sz val="8"/>
        <rFont val="Arial"/>
        <family val="2"/>
      </rPr>
      <t>Gasoline</t>
    </r>
    <r>
      <rPr>
        <sz val="8"/>
        <rFont val="Arial"/>
        <family val="2"/>
      </rPr>
      <t xml:space="preserve"> worksheet, reflecting fuel's higher proportion of air travel costs as well as more discretionary nature of most air travel vs. most auto travel.</t>
    </r>
  </si>
  <si>
    <t>Sources</t>
  </si>
  <si>
    <t>Source Total</t>
  </si>
  <si>
    <r>
      <t>Other</t>
    </r>
    <r>
      <rPr>
        <vertAlign val="superscript"/>
        <sz val="9"/>
        <rFont val="Arial"/>
        <family val="2"/>
      </rPr>
      <t>2</t>
    </r>
  </si>
  <si>
    <r>
      <t>Electricity</t>
    </r>
    <r>
      <rPr>
        <vertAlign val="superscript"/>
        <sz val="9"/>
        <rFont val="Arial"/>
        <family val="2"/>
      </rPr>
      <t>3</t>
    </r>
  </si>
  <si>
    <t>Sector Total</t>
  </si>
  <si>
    <t>http://www.eia.gov/tools/faqs/faq.cfm?id=75&amp;t=11</t>
  </si>
  <si>
    <r>
      <t>Total energy-related CO</t>
    </r>
    <r>
      <rPr>
        <b/>
        <vertAlign val="subscript"/>
        <sz val="9"/>
        <rFont val="Arial"/>
        <family val="2"/>
      </rPr>
      <t>2</t>
    </r>
    <r>
      <rPr>
        <b/>
        <sz val="9"/>
        <rFont val="Arial"/>
        <family val="2"/>
      </rPr>
      <t xml:space="preserve"> emissions equal 5,481 million metric tons.</t>
    </r>
  </si>
  <si>
    <t>What are the energy-related carbon dioxide (CO2) emissions by source and sector for the United States?</t>
  </si>
  <si>
    <r>
      <t>Energy-related CO</t>
    </r>
    <r>
      <rPr>
        <vertAlign val="subscript"/>
        <sz val="9"/>
        <rFont val="Arial"/>
        <family val="2"/>
      </rPr>
      <t xml:space="preserve">2 </t>
    </r>
    <r>
      <rPr>
        <sz val="9"/>
        <rFont val="Arial"/>
      </rPr>
      <t>emissions by source and sector for the United States, 2011</t>
    </r>
    <r>
      <rPr>
        <vertAlign val="superscript"/>
        <sz val="9"/>
        <rFont val="Arial"/>
        <family val="2"/>
      </rPr>
      <t>1</t>
    </r>
  </si>
  <si>
    <t>(Million Metric Tons)</t>
  </si>
  <si>
    <t>Transport</t>
  </si>
  <si>
    <t>Elec. Power</t>
  </si>
  <si>
    <t>Assume 2012=2011.</t>
  </si>
  <si>
    <t>Marked changes 2005-07 are from re-classifying vehicles</t>
  </si>
  <si>
    <t>Prior to Feb 2013, annual 2005-2010 data below was from US EPA, 430-R-12-001, Inventory of U.S. Greenhouse Gas Emissions and Sinks: 1990–2010, April 15, 2012 &lt;http://www.epa.gov/climatechange/Downloads/ghgemissions/US-GHG-Inventory-2012-Main-Text.pdf&gt;. Starting 15-March-2013, we use unnumbered USEPA *draft* for 1990-2011. That doc does *not* include 2006, so 2006 data below are from 1990-2010 report.</t>
  </si>
  <si>
    <r>
      <t xml:space="preserve">International Bunker Fuels </t>
    </r>
    <r>
      <rPr>
        <b/>
        <sz val="9"/>
        <color indexed="60"/>
        <rFont val="Arial"/>
        <family val="2"/>
      </rPr>
      <t>(excluded fr official est's)</t>
    </r>
  </si>
  <si>
    <t>All emission figures in this tab are in million metric tons (tonnes) of carbon dioxide (CO2) unless noted.</t>
  </si>
  <si>
    <t>Estimated</t>
  </si>
  <si>
    <t>Energy Data</t>
  </si>
  <si>
    <t>Petroleum Products, 000 bbl/day</t>
  </si>
  <si>
    <r>
      <t>1</t>
    </r>
    <r>
      <rPr>
        <sz val="8"/>
        <rFont val="Arial"/>
        <family val="2"/>
      </rPr>
      <t>Preliminary data for 2011.</t>
    </r>
  </si>
  <si>
    <r>
      <t>2</t>
    </r>
    <r>
      <rPr>
        <sz val="8"/>
        <rFont val="Arial"/>
        <family val="2"/>
      </rPr>
      <t>Miscellaneous wastes and from geothermal power generation.</t>
    </r>
  </si>
  <si>
    <r>
      <t>3</t>
    </r>
    <r>
      <rPr>
        <sz val="8"/>
        <rFont val="Arial"/>
        <family val="2"/>
      </rPr>
      <t>Electricity-related CO</t>
    </r>
    <r>
      <rPr>
        <vertAlign val="subscript"/>
        <sz val="8"/>
        <rFont val="Arial"/>
        <family val="2"/>
      </rPr>
      <t>2</t>
    </r>
    <r>
      <rPr>
        <sz val="8"/>
        <rFont val="Arial"/>
        <family val="2"/>
      </rPr>
      <t xml:space="preserve"> emissions based on electricity use for each sector and electric power emissions</t>
    </r>
  </si>
  <si>
    <r>
      <t>Geothermal</t>
    </r>
    <r>
      <rPr>
        <sz val="8"/>
        <rFont val="Arial"/>
        <family val="2"/>
      </rPr>
      <t xml:space="preserve"> (from Table 2-13; is CO2 equiv, not CO2)</t>
    </r>
  </si>
  <si>
    <r>
      <t xml:space="preserve">A fuel-based approach to Transportation </t>
    </r>
    <r>
      <rPr>
        <sz val="9"/>
        <rFont val="Arial"/>
      </rPr>
      <t>(2005-2011: Table 3-12, pp. 3-17 &amp; 3-18; 2012: extrapolated from 2011 w/ 2012/2011 ratios of relevant fuel)</t>
    </r>
  </si>
  <si>
    <t>Jet Fuel+Aviation Gas</t>
  </si>
  <si>
    <t>2012 made same 2011</t>
  </si>
  <si>
    <t xml:space="preserve">Aviation (non-military) </t>
  </si>
  <si>
    <t>Compound annual growth in CO2 emissions, lb/kWh generated (in year shown, vs. 2005)</t>
  </si>
  <si>
    <t>Fuel Consumed to Make Electricity</t>
  </si>
  <si>
    <t>Coal, Tons, 000</t>
  </si>
  <si>
    <t>Petroleum, Bbl, 000</t>
  </si>
  <si>
    <t>Natl Gas, Billion CF</t>
  </si>
  <si>
    <t>mer_data, T07.04A</t>
  </si>
  <si>
    <r>
      <t xml:space="preserve">Usage, tcf </t>
    </r>
    <r>
      <rPr>
        <b/>
        <sz val="8"/>
        <rFont val="Arial"/>
        <family val="2"/>
      </rPr>
      <t>(MER Table 4.3. Natural Gas Consumption by Sector)</t>
    </r>
  </si>
  <si>
    <t>Weighted Average, $/mcf</t>
  </si>
  <si>
    <r>
      <t xml:space="preserve">Average end-user price of natural gas, $/mcf </t>
    </r>
    <r>
      <rPr>
        <b/>
        <sz val="8"/>
        <rFont val="Arial"/>
        <family val="2"/>
      </rPr>
      <t>(thousand cubic feet; from mer.data T09.10)</t>
    </r>
  </si>
  <si>
    <t>Shares of same</t>
  </si>
  <si>
    <t>Inferred average delivery charge</t>
  </si>
  <si>
    <t>6-y avg</t>
  </si>
  <si>
    <r>
      <t xml:space="preserve">Average natural gas price at "City Gate", $/mcf </t>
    </r>
    <r>
      <rPr>
        <sz val="8"/>
        <rFont val="Arial"/>
        <family val="2"/>
      </rPr>
      <t>(thousand cubic feet; from mer.data T09.10)</t>
    </r>
  </si>
  <si>
    <r>
      <t xml:space="preserve">Average natural gas price at wellhead, $/mcf </t>
    </r>
    <r>
      <rPr>
        <sz val="8"/>
        <rFont val="Arial"/>
        <family val="2"/>
      </rPr>
      <t>(thousand cubic feet; from mer.data T09.10)</t>
    </r>
  </si>
  <si>
    <t>Inferred avg transmission + delivery charge</t>
  </si>
  <si>
    <r>
      <t xml:space="preserve">End-user natural gas price, $ per million Btu </t>
    </r>
    <r>
      <rPr>
        <sz val="9"/>
        <rFont val="Arial"/>
      </rPr>
      <t>(we use natural gas as proxy for 'Other' fuel use)</t>
    </r>
  </si>
  <si>
    <t>Delivered price</t>
  </si>
  <si>
    <t>Of which natural gas price at wellhead is ($/million Btu)</t>
  </si>
  <si>
    <t>Inferred delivery charge ($/million Btu -- encompasses transmission + distribution)</t>
  </si>
  <si>
    <t>Delivery charge (nominal $)</t>
  </si>
  <si>
    <t>Wellhead price (nominal $)</t>
  </si>
  <si>
    <t>Wellhead price (2011 $)</t>
  </si>
  <si>
    <t>Delivered price (nominal $)</t>
  </si>
  <si>
    <t>Delivered price (2012 $)</t>
  </si>
  <si>
    <t>Year-on-year ratio of delivered price (2012 $)</t>
  </si>
  <si>
    <t>U.S. aviation fuel sales with carbon tax, million gallons</t>
  </si>
  <si>
    <t>CO2 emissions from aviation fuel use, millions metric tons, w/ tax</t>
  </si>
  <si>
    <t>Carbon Tax Revenues, $ billions (w/o aviation fuel surtax component)</t>
  </si>
  <si>
    <t>Aviation Fuel Surcharge Revenues, $ billions (w/o carbon tax component)</t>
  </si>
  <si>
    <t>Total Tax Rev, $ billions (combined carbon tax + aviation fuel srchrg)</t>
  </si>
  <si>
    <t>Average user price of "other" fuel in 2012 dollars, per million Btu, with carbon tax</t>
  </si>
  <si>
    <t>CO2 from gasoline (personal ground travel), millions metric tons, w/ tax</t>
  </si>
  <si>
    <t>% increase in avg retail price of gasoline due to carbon tax (i.e., tax's price differential as % of price w/o tax)</t>
  </si>
  <si>
    <t>% increase in avg retail price of diesel due to carbon tax (i.e., tax's price differential as % of price w/o tax)</t>
  </si>
  <si>
    <t>Change in CO2 due to carbon tax, million metric tons, relative to 2005 emissions</t>
  </si>
  <si>
    <r>
      <t xml:space="preserve">Avg retail jet fuel price / gallon, w/o taxes </t>
    </r>
    <r>
      <rPr>
        <sz val="8"/>
        <rFont val="Arial"/>
        <family val="2"/>
      </rPr>
      <t>(excludes fed, state, local &amp; carbon taxes)</t>
    </r>
  </si>
  <si>
    <t>Average "retail" jet fuel price, per gallon, with all taxes except carbon tax</t>
  </si>
  <si>
    <t>2012 value is from IRS, Fuel Taxes, "Kerosene for Use in Aviation." We reduce it by $.01 for each prior yr and increase future values at projected rate of general inflation.</t>
  </si>
  <si>
    <r>
      <t xml:space="preserve">F. Carbon tax level resulting from your choices above </t>
    </r>
    <r>
      <rPr>
        <sz val="9"/>
        <rFont val="Arial"/>
      </rPr>
      <t>(figures shown are the amounts charged in year shown, per short ton (</t>
    </r>
    <r>
      <rPr>
        <u/>
        <sz val="9"/>
        <rFont val="Arial"/>
        <family val="2"/>
      </rPr>
      <t>not</t>
    </r>
    <r>
      <rPr>
        <sz val="9"/>
        <rFont val="Arial"/>
      </rPr>
      <t xml:space="preserve"> metric ton, or tonne) of CO2 emitted</t>
    </r>
  </si>
  <si>
    <t>Change in CO2 in that year, relative to actual CO2 emissions in 2005, expressed as a percent</t>
  </si>
  <si>
    <t>Columns extend through 2036. Beyond that point (and likely before) the tax rate would almost certainly be adjusted.</t>
  </si>
  <si>
    <t>Sector's Share of Reductions from 2005</t>
  </si>
  <si>
    <t>% Reduction from Sector's '05 Emissions</t>
  </si>
  <si>
    <t>Energy</t>
  </si>
  <si>
    <t>AEO</t>
  </si>
  <si>
    <t>CO2 emissions, million metric tons, with carbon tax incremented at levels inputted above</t>
  </si>
  <si>
    <t>U.S. Population (millions, July 1 of each year)</t>
  </si>
  <si>
    <t>D O    N O T    T Y P E    I N    A N Y    O F    T H E    C E L L S    I N    T H E    M A G E N T A    A R R A Y    B E L O W .    T H E Y    A R E    C A L C U L A T E D    A U T O M A T I C A L L Y    F R O M    Y O U R    " R A T E "    A N D    " Y E A R "    I N P U T S    I N    C E L L S    A T    L E F T .</t>
  </si>
  <si>
    <t>Year chosen for snapshot (10th year of tax):</t>
  </si>
  <si>
    <t>U.S. electricity end-usage with carbon tax, terawatt-hours</t>
  </si>
  <si>
    <t>U.S. net generation with carbon tax, terawatt-hours</t>
  </si>
  <si>
    <t>Change in U.S. electricity end-usage due to price impact of c-tax, terawatt-hours</t>
  </si>
  <si>
    <t>Parameters that user may vary in this worksheet are shown in magenta.</t>
  </si>
  <si>
    <r>
      <t xml:space="preserve">Parameters that pivot off assumptions in </t>
    </r>
    <r>
      <rPr>
        <b/>
        <sz val="9"/>
        <color indexed="48"/>
        <rFont val="Arial"/>
        <family val="2"/>
      </rPr>
      <t>Summary</t>
    </r>
    <r>
      <rPr>
        <sz val="9"/>
        <color indexed="48"/>
        <rFont val="Arial"/>
        <family val="2"/>
      </rPr>
      <t xml:space="preserve"> sheet are shown in blue.</t>
    </r>
  </si>
  <si>
    <r>
      <t xml:space="preserve">All money figures in this tab are in nominal ("as-spent") dollars. Any conversions from real (inflation-adj'd) dollars have been made in </t>
    </r>
    <r>
      <rPr>
        <b/>
        <u/>
        <sz val="8"/>
        <rFont val="Arial"/>
        <family val="2"/>
      </rPr>
      <t>Summary</t>
    </r>
    <r>
      <rPr>
        <b/>
        <sz val="8"/>
        <rFont val="Arial"/>
        <family val="2"/>
      </rPr>
      <t>.</t>
    </r>
  </si>
  <si>
    <r>
      <t xml:space="preserve">Tax in year shown, per </t>
    </r>
    <r>
      <rPr>
        <u/>
        <sz val="9"/>
        <color indexed="12"/>
        <rFont val="Arial"/>
        <family val="2"/>
      </rPr>
      <t>metric</t>
    </r>
    <r>
      <rPr>
        <sz val="9"/>
        <color indexed="12"/>
        <rFont val="Arial"/>
        <family val="2"/>
      </rPr>
      <t xml:space="preserve"> ton of CO2 emitted (shown for reference)</t>
    </r>
  </si>
  <si>
    <t>Covers passenger cars, but also ATV's, pleasure boats, etc.</t>
  </si>
  <si>
    <r>
      <t xml:space="preserve">These 3 empty rows are here to true this page with </t>
    </r>
    <r>
      <rPr>
        <b/>
        <sz val="9"/>
        <rFont val="Arial"/>
        <family val="2"/>
      </rPr>
      <t>Freight</t>
    </r>
    <r>
      <rPr>
        <sz val="9"/>
        <rFont val="Arial"/>
      </rPr>
      <t xml:space="preserve"> worksheet. Latter requires additional rows to account for </t>
    </r>
    <r>
      <rPr>
        <i/>
        <sz val="9"/>
        <rFont val="Arial"/>
        <family val="2"/>
      </rPr>
      <t>current</t>
    </r>
    <r>
      <rPr>
        <sz val="9"/>
        <rFont val="Arial"/>
      </rPr>
      <t xml:space="preserve"> local, state and federal excise taxes on diesel fuel that aren't included in the base diesel prices in that worksheet, whereas the gasoline prices directly above do include applicable taxes.</t>
    </r>
  </si>
  <si>
    <t>Covers freight movements by trucks, planes, barges, boats and trains.</t>
  </si>
  <si>
    <r>
      <t xml:space="preserve">Covers passenger air travel.
(Air freight is included in </t>
    </r>
    <r>
      <rPr>
        <b/>
        <sz val="9"/>
        <rFont val="Arial"/>
        <family val="2"/>
      </rPr>
      <t>Freight</t>
    </r>
    <r>
      <rPr>
        <sz val="9"/>
        <rFont val="Arial"/>
      </rPr>
      <t xml:space="preserve"> page.) </t>
    </r>
  </si>
  <si>
    <t>H    I   S   T   O   R   I   C   A   L</t>
  </si>
  <si>
    <t>P   R   O   J   E   C   T   E   D</t>
  </si>
  <si>
    <t>See http://www.carbontax.org/issues/energy-demand-how-sensitive-to-price/ for background; However, because we have not analyzed "Other" fuels, figure here is an estimate.</t>
  </si>
  <si>
    <r>
      <t xml:space="preserve">Total CO2 emissions w/o carbon tax </t>
    </r>
    <r>
      <rPr>
        <sz val="8"/>
        <rFont val="Arial"/>
        <family val="2"/>
      </rPr>
      <t>(million metric tons)</t>
    </r>
  </si>
  <si>
    <r>
      <t xml:space="preserve">Total CO2 emissions w/ carbon tax </t>
    </r>
    <r>
      <rPr>
        <sz val="8"/>
        <rFont val="Arial"/>
        <family val="2"/>
      </rPr>
      <t>(million metric tons)</t>
    </r>
  </si>
  <si>
    <r>
      <t xml:space="preserve">Electricity sales w/o carbon tax </t>
    </r>
    <r>
      <rPr>
        <sz val="8"/>
        <rFont val="Arial"/>
        <family val="2"/>
      </rPr>
      <t>(TWh)</t>
    </r>
  </si>
  <si>
    <r>
      <t xml:space="preserve">Electricity sales w carbon tax </t>
    </r>
    <r>
      <rPr>
        <sz val="8"/>
        <rFont val="Arial"/>
        <family val="2"/>
      </rPr>
      <t>(TWh)</t>
    </r>
  </si>
  <si>
    <r>
      <t xml:space="preserve">Gasoline sales w/o carbon tax </t>
    </r>
    <r>
      <rPr>
        <sz val="8"/>
        <rFont val="Arial"/>
        <family val="2"/>
      </rPr>
      <t>(million gallons)</t>
    </r>
  </si>
  <si>
    <r>
      <t xml:space="preserve">Gasoline sales w carbon tax </t>
    </r>
    <r>
      <rPr>
        <sz val="8"/>
        <rFont val="Arial"/>
        <family val="2"/>
      </rPr>
      <t>(million gallons)</t>
    </r>
  </si>
  <si>
    <r>
      <t xml:space="preserve">Diesel sales w/o carbon tax </t>
    </r>
    <r>
      <rPr>
        <sz val="8"/>
        <rFont val="Arial"/>
        <family val="2"/>
      </rPr>
      <t>(million gallons)</t>
    </r>
  </si>
  <si>
    <r>
      <t xml:space="preserve">Diesel sales w carbon tax </t>
    </r>
    <r>
      <rPr>
        <sz val="8"/>
        <rFont val="Arial"/>
        <family val="2"/>
      </rPr>
      <t>(million gallons)</t>
    </r>
  </si>
  <si>
    <r>
      <t xml:space="preserve">Total CO2 emissions w/o c-tax </t>
    </r>
    <r>
      <rPr>
        <sz val="8"/>
        <rFont val="Arial"/>
        <family val="2"/>
      </rPr>
      <t>(million metric tons)</t>
    </r>
  </si>
  <si>
    <r>
      <t xml:space="preserve">Total CO2 emissions w/ c-tax </t>
    </r>
    <r>
      <rPr>
        <sz val="8"/>
        <rFont val="Arial"/>
        <family val="2"/>
      </rPr>
      <t>(million metric tons)</t>
    </r>
  </si>
  <si>
    <r>
      <t xml:space="preserve">Jet fuel sales w/o carbon tax </t>
    </r>
    <r>
      <rPr>
        <sz val="8"/>
        <rFont val="Arial"/>
        <family val="2"/>
      </rPr>
      <t>(million gallons)</t>
    </r>
  </si>
  <si>
    <r>
      <t xml:space="preserve">Jet fuel sales w carbon tax </t>
    </r>
    <r>
      <rPr>
        <sz val="8"/>
        <rFont val="Arial"/>
        <family val="2"/>
      </rPr>
      <t>(million gallons)</t>
    </r>
  </si>
  <si>
    <t>% increase in avg retail price of jet fuel due to carbon tax (i.e., tax's price differential as % of price w/o tax)</t>
  </si>
  <si>
    <t>Historical Real Annual Increase Rate in U.S. Average Jet Fuel Price, 1990-2012:</t>
  </si>
  <si>
    <r>
      <t>Other fuel sales w/o carbon tax</t>
    </r>
    <r>
      <rPr>
        <sz val="8"/>
        <rFont val="Arial"/>
        <family val="2"/>
      </rPr>
      <t xml:space="preserve"> (trillion Btu)</t>
    </r>
  </si>
  <si>
    <r>
      <t>Other fuel sales w/ carbon tax</t>
    </r>
    <r>
      <rPr>
        <sz val="8"/>
        <rFont val="Arial"/>
        <family val="2"/>
      </rPr>
      <t xml:space="preserve"> (trillion Btu)</t>
    </r>
  </si>
  <si>
    <t xml:space="preserve"> For graph of CO2 reductions over time, click: </t>
  </si>
  <si>
    <t>To view key results, Page Down twice, or click:</t>
  </si>
  <si>
    <t>How (The Model Works)</t>
  </si>
  <si>
    <t>Note: This worksheet has not been updated since 2009. We understand the importance of incorporating non-CO2 GHG's into the model, and we intend to do so in 2013.</t>
  </si>
  <si>
    <r>
      <t xml:space="preserve">We then </t>
    </r>
    <r>
      <rPr>
        <i/>
        <sz val="9"/>
        <rFont val="Arial"/>
        <family val="2"/>
      </rPr>
      <t xml:space="preserve">project </t>
    </r>
    <r>
      <rPr>
        <sz val="9"/>
        <rFont val="Arial"/>
      </rPr>
      <t>each sector's usage and carbon content, with and without the carbon tax.</t>
    </r>
  </si>
  <si>
    <r>
      <t xml:space="preserve">Usage is dictated by income (GDP) and price. (More precisely, </t>
    </r>
    <r>
      <rPr>
        <i/>
        <sz val="9"/>
        <rFont val="Arial"/>
        <family val="2"/>
      </rPr>
      <t>year-to-year</t>
    </r>
    <r>
      <rPr>
        <sz val="9"/>
        <rFont val="Arial"/>
      </rPr>
      <t xml:space="preserve"> </t>
    </r>
    <r>
      <rPr>
        <i/>
        <sz val="9"/>
        <rFont val="Arial"/>
        <family val="2"/>
      </rPr>
      <t>changes</t>
    </r>
    <r>
      <rPr>
        <sz val="9"/>
        <rFont val="Arial"/>
      </rPr>
      <t xml:space="preserve"> in usage are dictated by year-to-year changes in GDP and changes in the (real, i.e., inflation-adjusted) price of the energy or fuel.) We have assigned to each sector an "income-elasticity" and a "price-elasticity" that determine the rate at which changes in income and price affect usage. </t>
    </r>
  </si>
  <si>
    <r>
      <t xml:space="preserve">All things equal ("ceteris paribus"), the steeper the rise in national income, the steeper the "natural" increase in usage, as more affluent Americans occupy more and larger houses, more factories churn out more stuff, and more autos, trucks, boats, etc. are driven more miles. At the same time, and overlaying the "income" effect, costlier energy leads to less use of it per unit of economic activity, as more-expensive energy incentivizes households, factories, institutions and humans to find ways to economize on energy </t>
    </r>
    <r>
      <rPr>
        <sz val="9"/>
        <rFont val="Calibri"/>
        <family val="2"/>
      </rPr>
      <t>—</t>
    </r>
    <r>
      <rPr>
        <sz val="9"/>
        <rFont val="Arial"/>
      </rPr>
      <t xml:space="preserve"> as they do with any commodity or good or service that grows more expensive. Thus, income-elasticity and price-elasticity operate simultaneously and independently.</t>
    </r>
  </si>
  <si>
    <t xml:space="preserve">The discussion thus far concerns only the "demand" (usage) side of the equation. The "supply" side will also be affected by the carbon tax, as tax-minimizing energy users increasingly shift their purchases of energy to suppliers who draw on low-carbon fuels which will be taxed at lower rates per kWh or Btu. </t>
  </si>
  <si>
    <t>This page under construction as of:</t>
  </si>
  <si>
    <t>How</t>
  </si>
  <si>
    <t>Modeler's assumption, chosen to reflect assumed ongoing decarbonization of electricity sector, though at a somewhat lesser pace than during 2005-2011.</t>
  </si>
  <si>
    <t>http://www1.eere.energy.gov/analysis/transportationenergyfutures/</t>
  </si>
  <si>
    <t>EIA tranche of studies on complementary steps to reduce U.S. CO2 emissions from transport by 80% by 2050; scheduled for late March 2013 release: Covers LDV's, HDV's, fuels, transportation demand (built environment), etc.</t>
  </si>
  <si>
    <t>Introducing the carbon tax affects usage by elevating the price of the energy (electricity, gasoline, etc.) above what it would be without the tax and, thus, bending the curve of usage downward. The model has two price trajectories and thus two "usage" trajectories: a business-as-usual path without the carbon tax, and a second, lower path with the tax. The difference between the two trajectories translates into (or, more precisely, "is") the difference in units of consumption (electricity, gasoline, etc.) for each energy sector.</t>
  </si>
  <si>
    <r>
      <t xml:space="preserve">This shift to lower-carbon energy sources will be most pronounced in the electricity sector. This is because there is a wide range of sources, with a broad range of carbon intensity, capable of producing what is, after all, merely a commodity </t>
    </r>
    <r>
      <rPr>
        <sz val="9"/>
        <rFont val="Calibri"/>
        <family val="2"/>
      </rPr>
      <t>—</t>
    </r>
    <r>
      <rPr>
        <sz val="9"/>
        <rFont val="Arial"/>
      </rPr>
      <t xml:space="preserve"> a kilowat-hour of electricity: wind turbines, solar collectors, nuclear power plants (all essentially zero-carbon at the point of generation); gas-fired power plants, including combined-cycle turbines that, due to "efficiency" rates up to 60% and natural gas's relatively low carbon content (among other fossil fuels), produce only 35-40% as much CO2 as conventional coal-fired power plants; and, of course, at the top of the carbon-emissions chart, coal-fired generation.</t>
    </r>
  </si>
  <si>
    <t>How to "model" (estimate / analyze) the decarbonization of electricity and other energy supply is something we've been wrestling with for awhile. We know that a higher carbon tax will accelerate the pace of decarbonization. But we haven't yet been able to derive an empirical relationship or otherwise devise an analytical means to estimate the strength of the linkage. This "analytical gap" forces us to make assumptions for each sector.</t>
  </si>
  <si>
    <t>U.S. Energy Summary</t>
  </si>
  <si>
    <t>mer_data, T01.03, Table 1.3. Primary Energy Consumption by Source</t>
  </si>
  <si>
    <t>Note: Throughout this tab, 2006 figures (which we did not record independently) are taken as mean of entries for 2005 and 2007.</t>
  </si>
  <si>
    <t>US oil consumption (thousands of barrels per day)</t>
  </si>
  <si>
    <t>Change in Actual CO2 emissions from 2005 baseline</t>
  </si>
  <si>
    <t>Change in Projected CO2 emissions from 2005 baseline</t>
  </si>
  <si>
    <t>CO2 emissions, million metric tons, w/o c-tax</t>
  </si>
  <si>
    <t>Share of Electricity Generated from Fossil Fuels</t>
  </si>
  <si>
    <t>Sectoral Breakdown of Emission Reductions Projected for Tenth Year of Carbon Tax</t>
  </si>
  <si>
    <t>Sector share of '12 reduxn from '05</t>
  </si>
  <si>
    <t>Petroleum Consumption, thousand bbl/day (w/o c-tax)</t>
  </si>
  <si>
    <t>Petroleum Consumption, thousand bbl/day (with carbon tax)</t>
  </si>
  <si>
    <r>
      <t xml:space="preserve">Net Electricity Generation from Fossil Fuels, GWh </t>
    </r>
    <r>
      <rPr>
        <sz val="9"/>
        <rFont val="Arial"/>
      </rPr>
      <t>(MER, Table 7.2a)</t>
    </r>
  </si>
  <si>
    <t>Million Btu per barrel of gasoline</t>
  </si>
  <si>
    <t>Million Btu per barrel of petroleum burned for electricity generation</t>
  </si>
  <si>
    <t>http://www.eia.doe.gov/emeu/mer/append_a.html, Table A3 (approx value for 2008-2013).</t>
  </si>
  <si>
    <t>Average retail diesel price per gallon, with fed, state and local taxes but w/o carbon tax</t>
  </si>
  <si>
    <t>Avg retail diesel price per gallon, with fed, state and local taxes but w/o carbon tax, 2012 dollars</t>
  </si>
  <si>
    <t>Jet fuel usage, million gallons, w/o carbon tax</t>
  </si>
  <si>
    <t>Reduxn in per-Btu CO2 emission rate per $10/ton CO2 tax</t>
  </si>
  <si>
    <t>% increase in avg retail price of fuel for "other" sector due to carbon tax (i.e., tax's price differential as % of price w/o tax)</t>
  </si>
  <si>
    <t>It calculates the likely reductions in U.S. carbon dioxide emissions from implementing either a "straight" carbon tax (levied on the carbon contents of coal, oil and natural gas) or a "hybrid carbon tax" that supplements the straight carbon tax with a per-gallon tax on selected petroleum products (e.g., gasoline and aviation fuel).</t>
  </si>
  <si>
    <t xml:space="preserve">You, the user, select levels of both taxes below. Setting extra petrol tax to zero eliminates hybrid aspect. </t>
  </si>
  <si>
    <t>Tax level, by statute:</t>
  </si>
  <si>
    <t>Tax level, in nominal $$:</t>
  </si>
  <si>
    <t>Tax level, in 2010 dollars:</t>
  </si>
  <si>
    <t>assumes:</t>
  </si>
  <si>
    <t>Btu/kWh</t>
  </si>
  <si>
    <t>Relatively high figure, intended to reflect cycling and stand-by role for oil-fired plants</t>
  </si>
  <si>
    <t>Lubricants, Road Tar, and other non-combustible products</t>
  </si>
  <si>
    <t>Fossil Fuels Dedicated to Non-Combustion</t>
  </si>
  <si>
    <t>Million Btu per barrel of petroleum used for feedstock/processes rather than combusted</t>
  </si>
  <si>
    <t>Komanoff est.</t>
  </si>
  <si>
    <t>Coal, Quads</t>
  </si>
  <si>
    <t>Petroleum, Quads</t>
  </si>
  <si>
    <t>Natl Gas, Quads</t>
  </si>
  <si>
    <t>Non-elec. or transport</t>
  </si>
  <si>
    <t>"Other"_ Natural Gas</t>
  </si>
  <si>
    <t>Special Conversions for Natural Gas</t>
  </si>
  <si>
    <t>Weight of one mcf (thousand cubic feet) of methane, pounds</t>
  </si>
  <si>
    <t>Source: http://www.eia.doe.gov/oiaf/1605/gg98rpt/appendixf.html</t>
  </si>
  <si>
    <t>Pounds of carbon per pound of methane</t>
  </si>
  <si>
    <t>Pounds of carbon dioxide emitted per pound of methane combusted</t>
  </si>
  <si>
    <t>Calculated from respective atomic weights.</t>
  </si>
  <si>
    <t>Pounds of carbon dioxide emitted per mcf of methane combusted</t>
  </si>
  <si>
    <t>Pounds of carbon dioxide emitted per million btu of methane combusted</t>
  </si>
  <si>
    <t>Natural Gas Consumed for Other, Quads</t>
  </si>
  <si>
    <t>Kilograms of carbon dioxide emitted per million btu of methane combusted</t>
  </si>
  <si>
    <t>"Other"_ Petrol</t>
  </si>
  <si>
    <t>Fossil F's Consumed for Personal Ground Travel, Qs</t>
  </si>
  <si>
    <t>U.S. Consumption of Fossil Fuels by Major Category, Quads per year</t>
  </si>
  <si>
    <r>
      <t xml:space="preserve">1 Quad = 1015 Btu </t>
    </r>
    <r>
      <rPr>
        <b/>
        <sz val="8"/>
        <rFont val="Calibri"/>
        <family val="2"/>
      </rPr>
      <t>•</t>
    </r>
    <r>
      <rPr>
        <b/>
        <sz val="8"/>
        <rFont val="Arial"/>
        <family val="2"/>
      </rPr>
      <t xml:space="preserve"> 2006 values are set to equal mean of 2005 and 2007</t>
    </r>
  </si>
  <si>
    <t>Share of Fossil Fuel BTU's Consumed, Assumed From Natural Gas</t>
  </si>
  <si>
    <t>CO2 emissions from Natural Gas in "Other" sector, million metric tons</t>
  </si>
  <si>
    <t>CO2 emission rate, expressed in kg / million Btu, w/ carbon tax</t>
  </si>
  <si>
    <t>Share of Fossil Fuel BTU's Consumed, Assumed from Petroleum Prods.</t>
  </si>
  <si>
    <t>Complement of corresponding cell in 'Other_Natural Gas' tab.</t>
  </si>
  <si>
    <t>Petroleum Products Consumed for Other, Quads</t>
  </si>
  <si>
    <t>CO2 from Petroleum Products in "Other" sector, million metric tons</t>
  </si>
  <si>
    <t>Diesel Fuel</t>
  </si>
  <si>
    <t>Aviation Fuel</t>
  </si>
  <si>
    <t>Mean of three fuel types above</t>
  </si>
  <si>
    <t xml:space="preserve">Emission Rates for Petroleum Products </t>
  </si>
  <si>
    <t>CO2, pounds per gallon)</t>
  </si>
  <si>
    <t>CO2, pounds per MMbtu)</t>
  </si>
  <si>
    <t>MM Btu per barrel</t>
  </si>
  <si>
    <t>Adjjustment factor to mean to reflect coal not used for electricity generation</t>
  </si>
  <si>
    <t>Komanoff assumptions; yearly variations assist true-up of "Other" sector emissions calculated separately for natural gas and petrol, to total from EPA database in next (Other-Petrol) tab.</t>
  </si>
  <si>
    <t>Combined CO2 fr "Other" sectors (N Gas &amp; Petrol), million metric tons</t>
  </si>
  <si>
    <t>CO2 emissions from "Other" sector, million metric tons, baseline</t>
  </si>
  <si>
    <t>Average "retail" jet fuel price, per gallon, with carbon tax, in 2012 dollars</t>
  </si>
  <si>
    <t>Average "retail" jet fuel price, per gallon, without carbon tax, in 2012 dollars</t>
  </si>
  <si>
    <t>"Other" petrol fuel usage, million gallons, w/o carbon tax</t>
  </si>
  <si>
    <t>W   I   T   H   O   U   T     C  A  R  B  O  N     T  A  X</t>
  </si>
  <si>
    <t>W   I   T   H     C  A  R  B  O  N     T  A  X</t>
  </si>
  <si>
    <t>Average "retail" fuel price for petroleum products consumed in "Other" sector, per gallon, w/o carbon tax, in 2012 dollars</t>
  </si>
  <si>
    <t>Average "retail" fuel price for petroleum products consumed in "Other" sector, per gallon, w/ carbon tax</t>
  </si>
  <si>
    <t>Tax equivalent per gallon of petroleum products used in "Other" sector</t>
  </si>
  <si>
    <t>Total tax per gallon of petroleum products used in "Other" sector</t>
  </si>
  <si>
    <t>Average retail price of other petrol products, per gallon, with carbon tax, in 2012 dollars</t>
  </si>
  <si>
    <t>% incrs in avg price of other petrol products due to carbon tax (i.e., tax's price differential as % of un-taxed price)</t>
  </si>
  <si>
    <t>Natural gas usage for "other" sector, trillion Btu, w/o carbon tax</t>
  </si>
  <si>
    <t xml:space="preserve">CARBON TAX 6-SECTOR MODEL </t>
  </si>
  <si>
    <t>CARBON TAX 6-SECTOR MODEL, by Charles Komanoff, is licensed under a Creative Commons Attribution-NonCommercial-ShareAlike 3.0 Unported License.</t>
  </si>
  <si>
    <t>"Other"-Petroleum Products (industry, heat/hot water, construxn, etc.)</t>
  </si>
  <si>
    <t>"Other"-Natural Gas (industry, heat + hot water, etc.)</t>
  </si>
  <si>
    <t xml:space="preserve">  from "Other" - Natural Gas</t>
  </si>
  <si>
    <t xml:space="preserve">  from "Other" - Petroleum Products</t>
  </si>
  <si>
    <t>CO2 emissions from petroleum prods for "other" sectors, millions tonnes, w/ tax</t>
  </si>
  <si>
    <t>Other Petrol Fuel Surcharge Revenues, $ billions (w/o carbon tax component)</t>
  </si>
  <si>
    <t>Total Tax Rev, $ billions (combined carbon tax + petrol fuel srchrg)</t>
  </si>
  <si>
    <t>This summary sheet combines emission projections from six worksheets: Electricity, Personal Ground Travel, Freight, Aviation and Other. See graph worksheets for visual representations.</t>
  </si>
  <si>
    <t xml:space="preserve">Breakdown of CO2 changes (relative to moving trajectory, not 2005) among the six sectors </t>
  </si>
  <si>
    <t>For each of the six energy-consuming sectors (electricity, personal ground travel, etc.), we have tabulated current/recent usage (e.g., electricity consumption; gallons of gasoline) and the carbon content of each unit of usage — pounds of CO2 emitted per kWh provided, per gallon of gasoline supplied, etc.</t>
  </si>
  <si>
    <r>
      <t xml:space="preserve">This spreadsheet models the impacts of a national carbon tax on U.S. </t>
    </r>
    <r>
      <rPr>
        <u/>
        <sz val="9"/>
        <rFont val="Arial"/>
        <family val="2"/>
      </rPr>
      <t>carbon emissions from fossil-fuel combustion</t>
    </r>
    <r>
      <rPr>
        <sz val="9"/>
        <rFont val="Arial"/>
      </rPr>
      <t xml:space="preserve">, along with impacts on </t>
    </r>
    <r>
      <rPr>
        <u/>
        <sz val="9"/>
        <rFont val="Arial"/>
        <family val="2"/>
      </rPr>
      <t>petroleum use</t>
    </r>
    <r>
      <rPr>
        <sz val="9"/>
        <rFont val="Arial"/>
      </rPr>
      <t xml:space="preserve">, and generation of </t>
    </r>
    <r>
      <rPr>
        <u/>
        <sz val="9"/>
        <rFont val="Arial"/>
        <family val="2"/>
      </rPr>
      <t>carbon-tax revenues</t>
    </r>
    <r>
      <rPr>
        <sz val="9"/>
        <rFont val="Arial"/>
      </rPr>
      <t xml:space="preserve">. The model divides carbon emissions into six sectors: </t>
    </r>
    <r>
      <rPr>
        <b/>
        <sz val="9"/>
        <rFont val="Arial"/>
        <family val="2"/>
      </rPr>
      <t>Electricity</t>
    </r>
    <r>
      <rPr>
        <sz val="9"/>
        <rFont val="Arial"/>
      </rPr>
      <t xml:space="preserve">, </t>
    </r>
    <r>
      <rPr>
        <b/>
        <sz val="9"/>
        <rFont val="Arial"/>
        <family val="2"/>
      </rPr>
      <t>Personal Ground Travel</t>
    </r>
    <r>
      <rPr>
        <sz val="9"/>
        <rFont val="Arial"/>
      </rPr>
      <t xml:space="preserve">, </t>
    </r>
    <r>
      <rPr>
        <b/>
        <sz val="9"/>
        <rFont val="Arial"/>
        <family val="2"/>
      </rPr>
      <t>Freight</t>
    </r>
    <r>
      <rPr>
        <sz val="9"/>
        <rFont val="Arial"/>
      </rPr>
      <t xml:space="preserve">, </t>
    </r>
    <r>
      <rPr>
        <b/>
        <sz val="9"/>
        <rFont val="Arial"/>
        <family val="2"/>
      </rPr>
      <t>Aviation</t>
    </r>
    <r>
      <rPr>
        <sz val="9"/>
        <rFont val="Arial"/>
      </rPr>
      <t xml:space="preserve">, </t>
    </r>
    <r>
      <rPr>
        <b/>
        <sz val="9"/>
        <rFont val="Arial"/>
        <family val="2"/>
      </rPr>
      <t>Other Natural Gas</t>
    </r>
    <r>
      <rPr>
        <sz val="9"/>
        <rFont val="Arial"/>
      </rPr>
      <t xml:space="preserve">, and </t>
    </r>
    <r>
      <rPr>
        <b/>
        <sz val="9"/>
        <rFont val="Arial"/>
        <family val="2"/>
      </rPr>
      <t>Other Petroleum Products</t>
    </r>
    <r>
      <rPr>
        <sz val="9"/>
        <rFont val="Arial"/>
      </rPr>
      <t>.</t>
    </r>
  </si>
  <si>
    <t>Tax Year:</t>
  </si>
  <si>
    <t>U.S. Other Petrol fuel sales with carbon tax, million gallons</t>
  </si>
  <si>
    <t>"Other" - Natural Gas</t>
  </si>
  <si>
    <t>"Other" - Petroleum Products</t>
  </si>
  <si>
    <t>Change in CO2 due to carbon tax, relative to moving trajectory, million metric tons</t>
  </si>
  <si>
    <t>Not quite a match, must check</t>
  </si>
  <si>
    <t>This section examines "sources" of CO2 reductions, to determine relative amounts associated with demand side vs. supply side.</t>
  </si>
  <si>
    <t>Not calculated for this sector, since carbon content of natural gas is assumed unchanged over time.</t>
  </si>
  <si>
    <t>Percent change in "other" natural gas use, relative to ongoing trend w/o c-tax</t>
  </si>
  <si>
    <t>Change in U.S. "other" natural gas use due to price impact of c-tax, trillion btu</t>
  </si>
  <si>
    <t>National "other" natural gas use with carbon tax, trillion btu</t>
  </si>
  <si>
    <t>"Other" Fuel (petrol products and natural gas in non-elec, non-transpo)</t>
  </si>
  <si>
    <r>
      <t xml:space="preserve">This is the first of two pages estimating CO2 emissions from fuel burning other than from </t>
    </r>
    <r>
      <rPr>
        <b/>
        <sz val="8"/>
        <rFont val="Arial"/>
        <family val="2"/>
      </rPr>
      <t>Electricity Generation</t>
    </r>
    <r>
      <rPr>
        <sz val="8"/>
        <rFont val="Arial"/>
        <family val="2"/>
      </rPr>
      <t xml:space="preserve">, </t>
    </r>
    <r>
      <rPr>
        <b/>
        <sz val="8"/>
        <rFont val="Arial"/>
        <family val="2"/>
      </rPr>
      <t>Personal Ground Travel</t>
    </r>
    <r>
      <rPr>
        <sz val="8"/>
        <rFont val="Arial"/>
        <family val="2"/>
      </rPr>
      <t xml:space="preserve">, </t>
    </r>
    <r>
      <rPr>
        <b/>
        <sz val="8"/>
        <rFont val="Arial"/>
        <family val="2"/>
      </rPr>
      <t>Freight</t>
    </r>
    <r>
      <rPr>
        <sz val="8"/>
        <rFont val="Arial"/>
        <family val="2"/>
      </rPr>
      <t xml:space="preserve"> movement, and </t>
    </r>
    <r>
      <rPr>
        <b/>
        <sz val="8"/>
        <rFont val="Arial"/>
        <family val="2"/>
      </rPr>
      <t>Aviation</t>
    </r>
    <r>
      <rPr>
        <sz val="8"/>
        <rFont val="Arial"/>
        <family val="2"/>
      </rPr>
      <t xml:space="preserve">, which are treated in preceding sheets. This page covers combustion of petroleum products for these "other" purposes, which are probably dominated by </t>
    </r>
    <r>
      <rPr>
        <u/>
        <sz val="8"/>
        <rFont val="Arial"/>
        <family val="2"/>
      </rPr>
      <t>industry</t>
    </r>
    <r>
      <rPr>
        <sz val="8"/>
        <rFont val="Arial"/>
        <family val="2"/>
      </rPr>
      <t xml:space="preserve"> and </t>
    </r>
    <r>
      <rPr>
        <u/>
        <sz val="8"/>
        <rFont val="Arial"/>
        <family val="2"/>
      </rPr>
      <t>provision of heat and hot water</t>
    </r>
    <r>
      <rPr>
        <sz val="8"/>
        <rFont val="Arial"/>
        <family val="2"/>
      </rPr>
      <t>. The next page covers burning of natural gas for analogous "other" purposes.</t>
    </r>
  </si>
  <si>
    <r>
      <t xml:space="preserve">This is the second of two pages estimating CO2 emissions from fuel burning other than from </t>
    </r>
    <r>
      <rPr>
        <b/>
        <sz val="8"/>
        <rFont val="Arial"/>
        <family val="2"/>
      </rPr>
      <t>Electricity Generation</t>
    </r>
    <r>
      <rPr>
        <sz val="8"/>
        <rFont val="Arial"/>
        <family val="2"/>
      </rPr>
      <t xml:space="preserve">, </t>
    </r>
    <r>
      <rPr>
        <b/>
        <sz val="8"/>
        <rFont val="Arial"/>
        <family val="2"/>
      </rPr>
      <t>Personal Ground Travel</t>
    </r>
    <r>
      <rPr>
        <sz val="8"/>
        <rFont val="Arial"/>
        <family val="2"/>
      </rPr>
      <t xml:space="preserve">, </t>
    </r>
    <r>
      <rPr>
        <b/>
        <sz val="8"/>
        <rFont val="Arial"/>
        <family val="2"/>
      </rPr>
      <t>Freight</t>
    </r>
    <r>
      <rPr>
        <sz val="8"/>
        <rFont val="Arial"/>
        <family val="2"/>
      </rPr>
      <t xml:space="preserve"> movement, and </t>
    </r>
    <r>
      <rPr>
        <b/>
        <sz val="8"/>
        <rFont val="Arial"/>
        <family val="2"/>
      </rPr>
      <t>Aviation</t>
    </r>
    <r>
      <rPr>
        <sz val="8"/>
        <rFont val="Arial"/>
        <family val="2"/>
      </rPr>
      <t xml:space="preserve">, which are treated in preceding sheets. This page covers combustion of natural gas for these "other" purposes, which are probably dominated by </t>
    </r>
    <r>
      <rPr>
        <u/>
        <sz val="8"/>
        <rFont val="Arial"/>
        <family val="2"/>
      </rPr>
      <t>industry</t>
    </r>
    <r>
      <rPr>
        <sz val="8"/>
        <rFont val="Arial"/>
        <family val="2"/>
      </rPr>
      <t xml:space="preserve"> and </t>
    </r>
    <r>
      <rPr>
        <u/>
        <sz val="8"/>
        <rFont val="Arial"/>
        <family val="2"/>
      </rPr>
      <t>provision of heat and hot water</t>
    </r>
    <r>
      <rPr>
        <sz val="8"/>
        <rFont val="Arial"/>
        <family val="2"/>
      </rPr>
      <t>. The previous page covered burning of petroleum products for analogous "other" purposes.</t>
    </r>
  </si>
  <si>
    <t>CO2 Impacts of the Carbon Tax, million metric tons</t>
  </si>
  <si>
    <t>As percents</t>
  </si>
  <si>
    <t>As million tonnes CO2/y</t>
  </si>
  <si>
    <t>[More to come, esp'ly on the supply-side elasticities.]</t>
  </si>
  <si>
    <t>To change the pre-set carbon-tax rates, Page Down once, or click:</t>
  </si>
  <si>
    <t>As barrels/day (1,000)</t>
  </si>
  <si>
    <t>4. Annual Revenues</t>
  </si>
  <si>
    <t>2. Annual Emissions, continued</t>
  </si>
  <si>
    <r>
      <t>3. Annual Oil Requirements</t>
    </r>
    <r>
      <rPr>
        <sz val="10"/>
        <rFont val="Arial"/>
        <family val="2"/>
      </rPr>
      <t xml:space="preserve"> </t>
    </r>
    <r>
      <rPr>
        <sz val="9"/>
        <rFont val="Arial"/>
      </rPr>
      <t/>
    </r>
  </si>
  <si>
    <t>(Figures were calculated in Graph_Oil worksheet and copied from there.)</t>
  </si>
  <si>
    <t xml:space="preserve"> For graph of reductions in petrol usage over time, click: </t>
  </si>
  <si>
    <t>Share of annual tax revenue applied to deficit or other purposes</t>
  </si>
  <si>
    <t>Tax Revenues applied to deficit or other purposes, $ billion</t>
  </si>
  <si>
    <t>Cumulative Tax Revs applied to deficit or other purposes, $ billions</t>
  </si>
  <si>
    <t>Cumulative Tax Revenues not applied to deficit or other, $ billions</t>
  </si>
  <si>
    <t>Annual Carbon Tax Dividend per household</t>
  </si>
  <si>
    <t>Maximum Annual Carbon Tax Dividend per household</t>
  </si>
  <si>
    <r>
      <t xml:space="preserve">Maximum Annual Carbon Tax Dividend per capita </t>
    </r>
    <r>
      <rPr>
        <sz val="9"/>
        <rFont val="Arial"/>
      </rPr>
      <t/>
    </r>
  </si>
  <si>
    <t>Persons per HH:</t>
  </si>
  <si>
    <t>U.S. Census 'Quick Facts': http://quickfacts.census.gov/qfd/states/00000.html</t>
  </si>
  <si>
    <t>Carbon Tax Revenues</t>
  </si>
  <si>
    <r>
      <t xml:space="preserve">Carbon Tax Dividend per household </t>
    </r>
    <r>
      <rPr>
        <sz val="9"/>
        <rFont val="Arial"/>
      </rPr>
      <t>(reflects any applicable deductions)</t>
    </r>
  </si>
  <si>
    <t>Graph_Revenue</t>
  </si>
  <si>
    <r>
      <t xml:space="preserve">Tax Revenues, $ billions </t>
    </r>
    <r>
      <rPr>
        <sz val="9"/>
        <rFont val="Arial"/>
      </rPr>
      <t>(100% of revenues, whether 'recycled' or not)</t>
    </r>
  </si>
  <si>
    <t xml:space="preserve"> For graph of carbon tax revenues, click: </t>
  </si>
  <si>
    <t>Index</t>
  </si>
  <si>
    <t>Linked tab or page</t>
  </si>
  <si>
    <t>Description</t>
  </si>
  <si>
    <t>Other_Petrol</t>
  </si>
  <si>
    <t>Other_Natural Gas</t>
  </si>
  <si>
    <t>(this page)</t>
  </si>
  <si>
    <t>Summarizes nature, purpose and structure of the spreadsheet.</t>
  </si>
  <si>
    <t>Graphs showing future CO2 emissions with and without carbon tax, and breakout of 10th-year differences by sector.</t>
  </si>
  <si>
    <t>Graph showing total revenue generation and per-household "dividend" shares of revenue from the carbon tax</t>
  </si>
  <si>
    <t>Unravels the model's key precepts and mechanics (still under construction, however).</t>
  </si>
  <si>
    <t>Contains forecasted energy prices and general-economy indicators from U.S. EIA's Annual Energy Outlook (preliminary for 2013).</t>
  </si>
  <si>
    <t>Has price- and income-elasticities for the six sectors, along with conversion factors (e.g., tons to tonnes) used throughout.</t>
  </si>
  <si>
    <t>Compiles emissions of non-CO2 greenhouse gases (still under construction, however).</t>
  </si>
  <si>
    <t>Graphs showing future petroleum requirements with and without carbon tax, and breakout of 10th-year differences by sector.</t>
  </si>
  <si>
    <t>Compiles each sector's baseline (actual) CO2 emissions for 2012 and earlier years.</t>
  </si>
  <si>
    <t>Compiles key baseline (actual) energy-use data (kWh of electricity, barrels of petroleum products, etc.) for 2012 and earlier years.</t>
  </si>
  <si>
    <t>To access Index, with links to all 18 "tabs" in spreadsheet, click:</t>
  </si>
  <si>
    <t xml:space="preserve">To view graph of reductions in petroleum usage, click: </t>
  </si>
  <si>
    <t>There are 5 graphs in this spreadsheet. Here are thumbnails of two.</t>
  </si>
  <si>
    <t xml:space="preserve">To view above graph in full size, not just thumbnail, click: </t>
  </si>
  <si>
    <r>
      <t xml:space="preserve">B. Now choose between two different ways to </t>
    </r>
    <r>
      <rPr>
        <b/>
        <u/>
        <sz val="9"/>
        <rFont val="Arial"/>
        <family val="2"/>
      </rPr>
      <t>increment</t>
    </r>
    <r>
      <rPr>
        <b/>
        <sz val="9"/>
        <rFont val="Arial"/>
        <family val="2"/>
      </rPr>
      <t xml:space="preserve"> tax. Click on box directly to right, and input "1" or "2".</t>
    </r>
  </si>
  <si>
    <t>2. If you selected '2,' initial tax will be compounded annually at % rate chosen here:</t>
  </si>
  <si>
    <t>C. Now specify whether changes in carbon tax level after initial year are expressed in "real" (inflation-adjusted to a specified base year) or "nominal" dollars (unadjusted for inflation, so that impact of tax is attenuated by inflation). Nominal is default.</t>
  </si>
  <si>
    <t>Source: 2012 National Population Projections, &lt;http://www.census.gov/population/projections/data/national/2012.html&gt;, Table, Projections of the Population and Components of Change for the United States: 2015 to 2060," downloaded 20-March-2013. 2014 value (not provided in above) was estimated here by applying 2015-2016 differential to 2014-2015.</t>
  </si>
  <si>
    <r>
      <t xml:space="preserve">We suggest you </t>
    </r>
    <r>
      <rPr>
        <b/>
        <i/>
        <u/>
        <sz val="9"/>
        <rFont val="Arial"/>
        <family val="2"/>
      </rPr>
      <t>not</t>
    </r>
    <r>
      <rPr>
        <b/>
        <i/>
        <sz val="9"/>
        <rFont val="Arial"/>
        <family val="2"/>
      </rPr>
      <t xml:space="preserve"> use Google docs to view/run the model. Use Excel (PC or Mac) instead.</t>
    </r>
  </si>
  <si>
    <t>Initial carbon tax rate ($/ton of CO2):</t>
  </si>
  <si>
    <t>Inflation treatment:</t>
  </si>
  <si>
    <t>Graph results below correspond to following carbon tax inputs/assumptions</t>
  </si>
  <si>
    <t>Year that carbon tax starts</t>
  </si>
  <si>
    <t>Annual increment ($/ton or %):</t>
  </si>
  <si>
    <t>Graph result below corresponds to following carbon tax inputs/assumptions</t>
  </si>
  <si>
    <t>Setting</t>
  </si>
  <si>
    <t>For possible future use</t>
  </si>
  <si>
    <t>Instructions to change an Excel "setting" to allow "iterative calculation" and thus eliminate circular references.</t>
  </si>
  <si>
    <t xml:space="preserve">For graph of CO2 reductions over time, click: </t>
  </si>
  <si>
    <t xml:space="preserve">For graph of reductions in petroleum usage over time, click: </t>
  </si>
  <si>
    <t xml:space="preserve">For graph of carbon tax revenues (total, and per household) click: </t>
  </si>
  <si>
    <t>If error message, "Cell reference is circular," appears when you load the file: you'll need to alter an Excel setting. To see how, click:</t>
  </si>
  <si>
    <t>EIA, Monthly Energy Review, Table 3.5. Petroleum Products Supplied by Type, downloaded 29-April-2013, except Lubricants etc., which is Komanoff estimate.</t>
  </si>
  <si>
    <t>EIA, Monthly Energy Review, Table 7.2a. Electricity Net Generation: Total (All Sectors) Net Generation by Energy Source, accessed 28-March-2013 and affirmed 29-March-2013.</t>
  </si>
  <si>
    <t>% increase in avg retail price of electricity due to carbon tax (i.e., tax's price differential as % of price w/o tax)</t>
  </si>
  <si>
    <t>All dollar figures in this section are in nominal (not constant) money.</t>
  </si>
  <si>
    <t>Demand Side</t>
  </si>
  <si>
    <t>Electricity sales in 2012 (Twh)</t>
  </si>
  <si>
    <t>Annual growth in electricity sales from 2012, w/o carbon tax</t>
  </si>
  <si>
    <t>Total percent growth in electricity sales from 2012, w/o carbon tax</t>
  </si>
  <si>
    <t>Total percent growth in electricity sales from 2012, w/ carbon tax</t>
  </si>
  <si>
    <t>Avg retail electricity price, cents/kWh, 2023, w/o carbon tax</t>
  </si>
  <si>
    <t>Avg retail electricity price, cents/kWh, 2023, w/ carbon tax</t>
  </si>
  <si>
    <t>Nominal</t>
  </si>
  <si>
    <t>2012$</t>
  </si>
  <si>
    <t>Total percent growth in electricity price from 2012, w/o carbon tax</t>
  </si>
  <si>
    <t>Total percent growth in electricity price from 2012, w/ carbon tax</t>
  </si>
  <si>
    <t>Annual growth in electricity sales from 2012, w/ carbon tax</t>
  </si>
  <si>
    <t>Annual growth in electricity price from 2012, w/o carbon tax</t>
  </si>
  <si>
    <t>Annual growth in electricity price from 2012, w/ carbon tax</t>
  </si>
  <si>
    <t>Supply Side</t>
  </si>
  <si>
    <t>Oil</t>
  </si>
  <si>
    <t>Nuke</t>
  </si>
  <si>
    <t>Hydro</t>
  </si>
  <si>
    <t>Wind</t>
  </si>
  <si>
    <t>Solar</t>
  </si>
  <si>
    <t>Geoth</t>
  </si>
  <si>
    <t>∆ vs. 2012</t>
  </si>
  <si>
    <t>CF of new wind turbines</t>
  </si>
  <si>
    <t>MW of new wind turbines</t>
  </si>
  <si>
    <t>GWh/y of new wind turbines</t>
  </si>
  <si>
    <t># new wind turbines:</t>
  </si>
  <si>
    <t>This link</t>
  </si>
  <si>
    <t>% CO2 savings ascribed to changed on the 'demand' side</t>
  </si>
  <si>
    <t>% CO2 savings ascribed to changed on the 'supply' side</t>
  </si>
  <si>
    <t>Difference in annual growth in electricity sales, between having and not having a carbon tax</t>
  </si>
  <si>
    <t>Demand Side, Part 1: Dampening in Electricity Growth Rate due to Carbon Tax</t>
  </si>
  <si>
    <t>Demand Side, Part 2: The Boost in Electricity Prices that Will Cause the Dampening in Usage</t>
  </si>
  <si>
    <t>Average actual retail electricity price, cents/kWh, 2012</t>
  </si>
  <si>
    <t>Diff. in annual growth in electric price, between having and not having a carbon tax</t>
  </si>
  <si>
    <r>
      <t xml:space="preserve">Annual growth in average electricity </t>
    </r>
    <r>
      <rPr>
        <u/>
        <sz val="9"/>
        <rFont val="Arial"/>
        <family val="2"/>
      </rPr>
      <t>bill</t>
    </r>
    <r>
      <rPr>
        <sz val="9"/>
        <rFont val="Arial"/>
      </rPr>
      <t xml:space="preserve"> from 2012, w/o carbon tax</t>
    </r>
  </si>
  <si>
    <r>
      <t xml:space="preserve">Annual growth in average electricity </t>
    </r>
    <r>
      <rPr>
        <u/>
        <sz val="9"/>
        <rFont val="Arial"/>
        <family val="2"/>
      </rPr>
      <t>bill</t>
    </r>
    <r>
      <rPr>
        <sz val="9"/>
        <rFont val="Arial"/>
      </rPr>
      <t xml:space="preserve"> from 2012, w/ carbon tax</t>
    </r>
  </si>
  <si>
    <r>
      <t xml:space="preserve">Demand Side, Part 3: Increase in Average Electric </t>
    </r>
    <r>
      <rPr>
        <b/>
        <u/>
        <sz val="9"/>
        <rFont val="Arial"/>
        <family val="2"/>
      </rPr>
      <t>Bill</t>
    </r>
    <r>
      <rPr>
        <b/>
        <sz val="9"/>
        <rFont val="Arial"/>
        <family val="2"/>
      </rPr>
      <t xml:space="preserve"> with and without Carbon Tax</t>
    </r>
  </si>
  <si>
    <t>Diff. in annual growth in electric bills, between having and not having a carbon tax</t>
  </si>
  <si>
    <t>Cellulose</t>
  </si>
  <si>
    <t>Totals</t>
  </si>
  <si>
    <t xml:space="preserve">Actual 2012 </t>
  </si>
  <si>
    <t>2023, without a Carbon Tax</t>
  </si>
  <si>
    <t>Figs. below are annual growth rates from 2012 chosen for wind and solar generation</t>
  </si>
  <si>
    <t>Methane</t>
  </si>
  <si>
    <t>Figs. below are, respectively,  GWh and CO2 "numerical targets" determined by the elasticity-driven model. Totals must equal them.</t>
  </si>
  <si>
    <t xml:space="preserve">2023, with a Carbon Tax: A High-Wind, Low-Methane Scenario </t>
  </si>
  <si>
    <t>(assumption)</t>
  </si>
  <si>
    <t>(calculation)</t>
  </si>
  <si>
    <t>2002-2012 annual growth rates are shown at right</t>
  </si>
  <si>
    <t>SUPPLY SIDE SCENARIOS TO "MEET" THE ELECTRICITY GROWTH AND CO2 REDUCTION SCENARIOS PROJECTED IN THE MODEL</t>
  </si>
  <si>
    <t>Exploratory Calculations to "Realize" (Flesh Out) Forecasted
Reductions in CO2 from Electricity Sector</t>
  </si>
  <si>
    <r>
      <t xml:space="preserve">Next 4 rows are U.S. Electricity Gen. in GWh and % </t>
    </r>
    <r>
      <rPr>
        <b/>
        <sz val="8"/>
        <rFont val="Calibri"/>
        <family val="2"/>
      </rPr>
      <t>•</t>
    </r>
    <r>
      <rPr>
        <b/>
        <sz val="8"/>
        <rFont val="Arial"/>
        <family val="2"/>
      </rPr>
      <t xml:space="preserve"> avg lb CO2/kWh • CO2 in Million Tonnes (calc'd as GWh x lb/GWh)</t>
    </r>
  </si>
  <si>
    <t>Next 4 rows are U.S. Electricity Gen. in GWh and % • avg lb CO2/kWh • CO2 in Million Tonnes (calc'd as GWh x lb/GWh)</t>
  </si>
  <si>
    <t>Next 4 rows are U.S. Electricity Gen. in GWh • avg lb CO2/kWh • CO2 in Million Tonnes (calc'd as GWh x lb/GWh)</t>
  </si>
  <si>
    <t xml:space="preserve">2023, with a Carbon Tax: A Lower-Wind, Higher-Solar, Higher-Methane Scenario </t>
  </si>
  <si>
    <t>Goods Movement</t>
  </si>
  <si>
    <t>Other Petroleum</t>
  </si>
  <si>
    <t>TOTAL</t>
  </si>
  <si>
    <t xml:space="preserve">  Electricity</t>
  </si>
  <si>
    <t xml:space="preserve">  Personal Ground Travel </t>
  </si>
  <si>
    <t xml:space="preserve">  Aviation</t>
  </si>
  <si>
    <t xml:space="preserve">  Freight</t>
  </si>
  <si>
    <t xml:space="preserve">  "Other" Petroleum</t>
  </si>
  <si>
    <t xml:space="preserve">  "Other" Methane</t>
  </si>
  <si>
    <t>Other Graphs</t>
  </si>
  <si>
    <t>1. 2012 Emissions, Pie Chart</t>
  </si>
  <si>
    <t>2. Electricity Generation, Pie Charts</t>
  </si>
  <si>
    <t>2023 No Tax</t>
  </si>
  <si>
    <t>2023 Tax #1</t>
  </si>
  <si>
    <t>2023 Tax #2</t>
  </si>
  <si>
    <t>3. Electricity Generation, Stacked Bars</t>
  </si>
  <si>
    <t>2023Tax#2</t>
  </si>
  <si>
    <t>2023Tax#1</t>
  </si>
  <si>
    <t>2023NoTax</t>
  </si>
  <si>
    <t>TWh</t>
  </si>
  <si>
    <t>2012¢/kWh</t>
  </si>
  <si>
    <t>2012$Bills</t>
  </si>
  <si>
    <t>No Tax</t>
  </si>
  <si>
    <t>Larson Tax</t>
  </si>
  <si>
    <t>Impact</t>
  </si>
  <si>
    <t>Bills</t>
  </si>
  <si>
    <t>Reduction attributable to conservation (reduced demand)</t>
  </si>
  <si>
    <t>Reduction attributable to decarbonization of supply</t>
  </si>
  <si>
    <t>Reductions from Conservation</t>
  </si>
  <si>
    <t>Reductions from Decarbonization</t>
  </si>
  <si>
    <t>CO2 Emissions from Carbon Tax</t>
  </si>
  <si>
    <t>Compound Annual Growth</t>
  </si>
  <si>
    <t>4. Electricity Sector Emissions, Stacked Bars</t>
  </si>
  <si>
    <t>Tax #1</t>
  </si>
  <si>
    <t>Tax #2</t>
  </si>
  <si>
    <t>A collection of "other" graphs, some of which figure in a Komanoff PPT slide show created in late May 2013.</t>
  </si>
  <si>
    <t>goes to new section</t>
  </si>
  <si>
    <t>sketching sector re-alignment in response to a robust carbon tax.</t>
  </si>
  <si>
    <t>The baroquely colored array below shows baseline (2012) U.S. electricity generation and CO2 emissions by fuel, and three scenarios for 2023.</t>
  </si>
  <si>
    <t>http://www.komanoff.net/fossil/CTC_Carbon_Tax_Model.xls</t>
  </si>
  <si>
    <t>http://www.komanoff.net/fossil/CTC_PPT_Carbon_tax_modeling.pdf</t>
  </si>
  <si>
    <r>
      <t xml:space="preserve">5. "Demand Side" vs. "Supply Side" </t>
    </r>
    <r>
      <rPr>
        <b/>
        <sz val="10"/>
        <rFont val="Calibri"/>
        <family val="2"/>
      </rPr>
      <t>—</t>
    </r>
    <r>
      <rPr>
        <b/>
        <sz val="10"/>
        <rFont val="Arial"/>
        <family val="2"/>
      </rPr>
      <t xml:space="preserve"> Estimating the Relative Contributions of "Conservation" (reduced and/or more-efficient usage) and of "Decarbonization" (changed in fuel mix)</t>
    </r>
  </si>
  <si>
    <t>Projections for Tenth Year of Carbon Tax</t>
  </si>
  <si>
    <t xml:space="preserve">  Personal Ground Travel</t>
  </si>
  <si>
    <t xml:space="preserve">  Freight (Goods Movement)</t>
  </si>
  <si>
    <t xml:space="preserve">  "Other" - Petroleum Products</t>
  </si>
  <si>
    <t xml:space="preserve">  "Other" - Natural Gas</t>
  </si>
  <si>
    <t>Share of reduction from reduced use</t>
  </si>
  <si>
    <t>T O T A L</t>
  </si>
  <si>
    <t>MM tons of reduction from reduced use</t>
  </si>
  <si>
    <t>Projected reduction, MM tons</t>
  </si>
  <si>
    <t>Other Sectors Combined</t>
  </si>
  <si>
    <t>Total, except Electricity</t>
  </si>
  <si>
    <t>Air Travel</t>
  </si>
  <si>
    <t>Other "Natural" Gas</t>
  </si>
  <si>
    <t>Larson Bill Revenue Treatment</t>
  </si>
  <si>
    <t>Larson Revenue</t>
  </si>
  <si>
    <t xml:space="preserve">Displays breakout of revenue distributions under Larson Bill from 2009 </t>
  </si>
  <si>
    <r>
      <t xml:space="preserve">Administrative Costs </t>
    </r>
    <r>
      <rPr>
        <sz val="10"/>
        <rFont val="Arial"/>
        <family val="2"/>
      </rPr>
      <t>(of a possible "dividend" system for distributing carbon tax revenes)</t>
    </r>
  </si>
  <si>
    <t>From: Foy, Anne FIN:EX &lt;Anne.Foy@gov.bc.ca&gt;</t>
  </si>
  <si>
    <t>Date: Mon, Jul 15, 2013 at 6:28 PM</t>
  </si>
  <si>
    <t>Subject: RE: Request on Administrative Costs of the BC Carbon Tax</t>
  </si>
  <si>
    <t>To: Danny Richter &lt;daniel@citizensclimatelobby.org&gt;</t>
  </si>
  <si>
    <t>Danny Richter,</t>
  </si>
  <si>
    <t>Legislative Director</t>
  </si>
  <si>
    <t>Citizens Climate Lobby</t>
  </si>
  <si>
    <t>Mr. Richter,</t>
  </si>
  <si>
    <t>The costs to administer a carbon tax will vary significantly by jurisdiction.  Among the many factors that will impact the administrative costs are the design of the tax and how it fits with any existing administrative processes.</t>
  </si>
  <si>
    <t>British Columbia has imposed fuel taxes since the 1920s. The BC carbon tax was designed to be administered harmoniously with the existing fuel taxes, reducing both provincial administrative costs and the compliance costs for fuel sellers.</t>
  </si>
  <si>
    <t>As set out in the June Budget Update,  the estimated revenue from the carbon tax for the 2013/14 fiscal year is $1,187 million.</t>
  </si>
  <si>
    <t>The estimated annual additional cost of administrating the BC carbon tax is approximately $1.4 to $1.8 million.  This is based primarily on the cost of the additional staff hired to administer the tax.  </t>
  </si>
  <si>
    <t>The June Budget Update is available at http://www.bcbudget.gov.bc.ca/2013_June_Update/default.htm</t>
  </si>
  <si>
    <t>General information about BCs carbon tax is available at: http://www.fin.gov.bc.ca/tbs/tp/climate/carbon_tax.htm</t>
  </si>
  <si>
    <t>Technical information about BCs carbon tax is available at:  http://www2.gov.bc.ca/gov/topic.page?id=1A80D78D2FC440ECB036B9EDE1EA7771.</t>
  </si>
  <si>
    <t>Anne Foy</t>
  </si>
  <si>
    <t>Strategic Advisor</t>
  </si>
  <si>
    <t>Tax Policy Branch</t>
  </si>
  <si>
    <t>Ministry of Finance</t>
  </si>
  <si>
    <t>British Columbia</t>
  </si>
  <si>
    <t>Estimated revenue, FY 2013/14:</t>
  </si>
  <si>
    <t>million</t>
  </si>
  <si>
    <t xml:space="preserve">Estimated annual additional cost of administering tax </t>
  </si>
  <si>
    <t>High estimate</t>
  </si>
  <si>
    <t>Low estimate</t>
  </si>
  <si>
    <t>Source: E-mail from BC Ministry of Finance to Danny Richter, Citizens Climate Lobby, July 15, 2013.</t>
  </si>
  <si>
    <t>United States</t>
  </si>
  <si>
    <t>GAO, August 2002 report, "Advance Tax Refund Program Was a Major Accomplishment, but Not Problem Free" (GAO-02-827, available at http://www.gao.gov/assets/240/235289.pdf.</t>
  </si>
  <si>
    <t>The program, known as the Economic Growth and Tax Relief Reconciliation Act of 2001 (EGTRA), changed tax law to reduce taxes and provide one-shot relief to some Americans in the form of an Advance Refund based on their 2000 tax returns.</t>
  </si>
  <si>
    <t>IRS was to identify eligible taxpayers and the Dept of Treasury's Financial Management Service (FMS) was to issue che checks on behalf of IRS.</t>
  </si>
  <si>
    <t>Direct quote from p. 2: Between July and December 2001, IRS, through FMS, mailed about 86 million advance refund checks totaling about $36.4 billion. According to IRS and FMS officials, (1) IRS incurred costs of about $104 million during fiscal year 2001 to administer the advance tax refund program, including staffing costs for such activities as computer programming and responding to taxpayer inquiries as well as costs for contracts, postage, and printing, and (2) FMS incurred about $34 million in costs to issue the checks. IRS expected to incur at least $12 million in additional costs during fiscal year 2002.</t>
  </si>
  <si>
    <t>Actual $$</t>
  </si>
  <si>
    <t>Reference Date</t>
  </si>
  <si>
    <t>Midpoint</t>
  </si>
  <si>
    <t>2013 $$</t>
  </si>
  <si>
    <t>FMS Costs</t>
  </si>
  <si>
    <t>IRS Costs I</t>
  </si>
  <si>
    <t>IRS Costs II</t>
  </si>
  <si>
    <t>FY2001</t>
  </si>
  <si>
    <t>2H2001</t>
  </si>
  <si>
    <t>FY2002</t>
  </si>
  <si>
    <t>GDP Def 1-Jul-2013</t>
  </si>
  <si>
    <t>GDP Def @ midpoint</t>
  </si>
  <si>
    <t>GDP deflators from http://research.stlouisfed.org/fred2/data/GDPDEF.txt, downloaded Nov. 22, 2013.</t>
  </si>
  <si>
    <t>IRS/FMS Costs, in Millions</t>
  </si>
  <si>
    <t>EGTRA (2001)</t>
  </si>
  <si>
    <t>H.R. 5140 (2008): Economic Stimulus Act of 2008 ("as cleared by the Congress on Feb. 7, 2008)</t>
  </si>
  <si>
    <t>Provided one-time tax rebate to most (?) individual tax filers.</t>
  </si>
  <si>
    <t>Source: CBO "Cost Estimate," Feb. 11, 2008.</t>
  </si>
  <si>
    <t>Table gives "Administrative Costs" of $0.2 billion in FY2008 + $0.1 billion in FY2009.</t>
  </si>
  <si>
    <t>Similarly, p. 4 says: Administrative Costs. Section 101 would appropriate $0.3 billion for the Internal Revenue Service (IRS), Financial Management Service (FMS), and Social Security Administration (SSA) to implement the provisions of H.R. 5140. Based on information from IRS, FMS, SSA, and historical spending patterns for similar activities, CBO estimates that this provision would increase direct spending by $0.2 billion in 2008 and by $0.1 billion in 2009.</t>
  </si>
  <si>
    <t>No figures given for # of HH's targeted, # of checks issued, # of checks received, etc.</t>
  </si>
  <si>
    <t>This page was begun in late November, 2013, and is still under construction.</t>
  </si>
  <si>
    <t>Baucus</t>
  </si>
  <si>
    <t>From Dec. 18, 2013 Committee Discussion Draft</t>
  </si>
  <si>
    <t>Any facility producing electricity that is about 25 percent cleaner than the average for all electricity production facilities will receive a tax credit. The cleaner the facility, the larger the credit. Cleanliness is defined by a simple ratio of the greenhouse gas emissions of a facility, as determined by the Environmental Protection Agency (EPA), divided by its electricity production. Cleanliness is defined by a simple ratio of the greenhouse gas emissions of a facility, as determined by the Environmental Protection Agency (EPA), divided by its electricity production. … The maximum production tax credit for a zero emissions facility is $0.023 per kilowatt of generation, indexed for inflation.</t>
  </si>
  <si>
    <t>From Komanoff speadsheet of U.S. electricity production, compiled during 2013; based on EIA, Monthly Energy Review</t>
  </si>
  <si>
    <t>U.S. electricity production's CO2 emissions, 2012, million tonnes (metric tons)</t>
  </si>
  <si>
    <t>U.S. electricity production, 2012, million kWh (all sources, not just carbon fuels)</t>
  </si>
  <si>
    <t>Kilograms CO2 per kWh, U.S. average, all sources, 2012</t>
  </si>
  <si>
    <t>Amount by which an electricity production facility must be cleaner than U.S. average to be eligible for credit</t>
  </si>
  <si>
    <t>Senate Finance Committee Discussion Draft, 12-18-2013, p. 3.</t>
  </si>
  <si>
    <t>Max kg CO2 / kWh a production facility may emit to be eligible for credit</t>
  </si>
  <si>
    <t>Max g CO2 / kWh a production facility may emit to be eligible for credit</t>
  </si>
  <si>
    <t>Tax credit for a production facility producing zero g CO2 / kWh</t>
  </si>
  <si>
    <t>Implied value of that credit, $ per tonne of CO2 eliminated</t>
  </si>
  <si>
    <t>Clean Electricity Tax Credit</t>
  </si>
  <si>
    <t>Senate Finance Committee Discussion Draft, 12-18-2013, p. 5.</t>
  </si>
  <si>
    <t>Energy content of gallon of gasoline, Btu</t>
  </si>
  <si>
    <t>Maximum tax credit for gallon of fuel with same energy content as gasoline but zero CO2 emissions</t>
  </si>
  <si>
    <t>CO2 emissions from gallon of gasoline, lb</t>
  </si>
  <si>
    <t>CO2 emissions from gallon of gasoline, kg</t>
  </si>
  <si>
    <t>Other Natural Gas</t>
  </si>
  <si>
    <t>Tax rate ($/tonne)</t>
  </si>
  <si>
    <t>Baseline (2012)</t>
  </si>
  <si>
    <t>Year-10 Reduction from supply side</t>
  </si>
  <si>
    <t>Estimated CO2 Reductions from Baucus Proposal and if Carbon Taxes Imputed to Different Sectors in Model</t>
  </si>
  <si>
    <r>
      <t xml:space="preserve">Revenue / Subsidies Associated with CO2 Reductions </t>
    </r>
    <r>
      <rPr>
        <sz val="9"/>
        <rFont val="Arial"/>
      </rPr>
      <t>(Year 10)</t>
    </r>
  </si>
  <si>
    <t>CO2 figures in million tonnes; Money figures in million dollars</t>
  </si>
  <si>
    <t>Subsidy (billion $)</t>
  </si>
  <si>
    <r>
      <t xml:space="preserve">Carbon Tax </t>
    </r>
    <r>
      <rPr>
        <i/>
        <u/>
        <sz val="9"/>
        <rFont val="Arial"/>
        <family val="2"/>
      </rPr>
      <t>Revenue</t>
    </r>
  </si>
  <si>
    <r>
      <t xml:space="preserve">Baucus Proposal </t>
    </r>
    <r>
      <rPr>
        <i/>
        <u/>
        <sz val="9"/>
        <rFont val="Arial"/>
        <family val="2"/>
      </rPr>
      <t>Subsidy</t>
    </r>
  </si>
  <si>
    <t>Year-10 Reduction from tax</t>
  </si>
  <si>
    <t>Tax Rate ($ per tonne)</t>
  </si>
  <si>
    <t>Revenue (billion $)</t>
  </si>
  <si>
    <t>Year-10 Emissions if no tax (or subsidy)</t>
  </si>
  <si>
    <t>Year-10 Emissions after netting tax impact</t>
  </si>
  <si>
    <t>All emissions figures are million tonnes and apply to year 10</t>
  </si>
  <si>
    <t>Reduction if carbon tax</t>
  </si>
  <si>
    <t>Reduction from c-tax demand side</t>
  </si>
  <si>
    <t xml:space="preserve">Reduction from c-tax in excess of CEC's </t>
  </si>
  <si>
    <t>Reduction from clean energy credits (CEC's)</t>
  </si>
  <si>
    <t>Unit price, business as usual (nominal $)</t>
  </si>
  <si>
    <t xml:space="preserve">Sector sales, billions </t>
  </si>
  <si>
    <t>Subsidy, billions</t>
  </si>
  <si>
    <t xml:space="preserve">"Rebound Effect" from Clean-Energy Subsidies Reducing Energy Prices </t>
  </si>
  <si>
    <t>[change to LOOKUP fnctn]</t>
  </si>
  <si>
    <t>Model Year</t>
  </si>
  <si>
    <t>Subsidy base year</t>
  </si>
  <si>
    <t>Million gallons</t>
  </si>
  <si>
    <t>Million lb</t>
  </si>
  <si>
    <t>Rebound in consumption</t>
  </si>
  <si>
    <t>CO2 due to rebound, in consumption units</t>
  </si>
  <si>
    <t>CO2 due to rebound, in million tonnes</t>
  </si>
  <si>
    <t>kWh</t>
  </si>
  <si>
    <t>CO2 (lb) per consumption unit</t>
  </si>
  <si>
    <t>gallon</t>
  </si>
  <si>
    <t>Clean (Transportation) Fuel Tax Credit (actual version in the tech doc accompanying Discussion Draft)</t>
  </si>
  <si>
    <t>Max g CO2 / million Btu a transportation fuel may emit and be eligible for credit</t>
  </si>
  <si>
    <t>OUTTAKES</t>
  </si>
  <si>
    <t xml:space="preserve">Clean (Transportation) Fuel Tax Credit </t>
  </si>
  <si>
    <t>It supports the Carbon Tax Center's Comments to a Senate Finance Committee draft document dated 18-Dec-2013 that proposed replacing 42 federal energy tax subsidies with either credits for “clean (low-carbon) electricity” production and “clean fuels,” or a tax on carbon pollution.</t>
  </si>
  <si>
    <t>CTC's 22-page Comments document may be downloaded (pdf) via this link:</t>
  </si>
  <si>
    <t>http://www.carbontax.org/wp-content/uploads/2014/01/CTC_Design_of_Economic_Instruments_for_Reducing_U.S._Carbon_Emissions.pdf</t>
  </si>
  <si>
    <t>This spreadsheet is also available for downloading via this link:</t>
  </si>
  <si>
    <t>http://www.carbontax.org/wpcontent/uploads/2014/01/CTC_Carbon_Tax_Model_Tailored_to_baucus_Proposal.xlsx.</t>
  </si>
  <si>
    <t>The standard edition of this spreadsheet is Web-downloadable at:</t>
  </si>
  <si>
    <t>That edition supports a 15-slide PowerPoint presentation dated May 28, 2013, available at:</t>
  </si>
  <si>
    <t>This version of the model is pre-inputted for a carbon tax that begins in 2015 at these rates: $61.08 per metric ton (tonne) of CO2 for electricity; $112.65/tonne for the transport sectors; and $86.87/tonne for the remaining sectors. These tax rates correspond to the values of the clean-electricity and clean-fuels credits proposed in the Senate Finance Committee discussion draft of Dec. 18, 2013. These rates would rise with inflation, but not in real terms.</t>
  </si>
  <si>
    <t>Calculates per-tonne rates of Senate Finance clean-energy subsidies, their rebound effects, and other results for CTC comments.</t>
  </si>
  <si>
    <t>This worksheet tab derives model inputs and collects model outputs to estimate CO2 reductions from the clean-electricicty and clean-fuels credits outlined in the Senate Finance Committee's "Discussion Draft" of Dec. 18, 2013 that proposed replacing 42 federal energy tax subsidies with either credits for “clean (low-carbon) electricity” production and “clean fuels,” or a tax on carbon pollution.</t>
  </si>
  <si>
    <t>While the calculations in this tab were done painstakingly, the annotation may be a bit ragged as we rush to post this version of the spreadsheet so that it may be accessed along with our comments to the Finance Committee today (Jan. 31, 2014).</t>
  </si>
  <si>
    <t>This spreadsheet has 21 worksheet "tabs," or "pages." Clicking on any linked tab takes you to that page.</t>
  </si>
  <si>
    <t>Save; these cells are used as Labels in graph below.</t>
  </si>
  <si>
    <t>Taken from respective tabs; details TK.</t>
  </si>
  <si>
    <t>Subsidy effect on price (% reduction)</t>
  </si>
  <si>
    <t>Subsidy effect on consumption (% incrs)</t>
  </si>
  <si>
    <t>Sector consumption in chosen yr (BAU)</t>
  </si>
  <si>
    <t>Convert lb to tonnes</t>
  </si>
  <si>
    <t>Net elimination of CO2, in million tonnes</t>
  </si>
  <si>
    <t>Sums of first 4 sectors</t>
  </si>
  <si>
    <t>Rebound</t>
  </si>
  <si>
    <t>Net CO2 Reduxn</t>
  </si>
  <si>
    <t>avg wghtd by 2012 emissions</t>
  </si>
  <si>
    <t>$/ton equiv.</t>
  </si>
</sst>
</file>

<file path=xl/styles.xml><?xml version="1.0" encoding="utf-8"?>
<styleSheet xmlns="http://schemas.openxmlformats.org/spreadsheetml/2006/main" xmlns:mc="http://schemas.openxmlformats.org/markup-compatibility/2006" xmlns:x14ac="http://schemas.microsoft.com/office/spreadsheetml/2009/9/ac" mc:Ignorable="x14ac">
  <numFmts count="26">
    <numFmt numFmtId="5" formatCode="&quot;$&quot;#,##0_);\(&quot;$&quot;#,##0\)"/>
    <numFmt numFmtId="7" formatCode="&quot;$&quot;#,##0.00_);\(&quot;$&quot;#,##0.0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00"/>
    <numFmt numFmtId="167" formatCode="_(* #,##0.0_);_(* \(#,##0.0\);_(* &quot;-&quot;??_);_(@_)"/>
    <numFmt numFmtId="168" formatCode="0.0"/>
    <numFmt numFmtId="169" formatCode="0.0%"/>
    <numFmt numFmtId="170" formatCode="#,##0.0"/>
    <numFmt numFmtId="171" formatCode="_(* #,##0.000_);_(* \(#,##0.000\);_(* &quot;-&quot;??_);_(@_)"/>
    <numFmt numFmtId="172" formatCode="0_);\(0\)"/>
    <numFmt numFmtId="173" formatCode="[$$-409]#,##0_);\([$$-409]#,##0\)"/>
    <numFmt numFmtId="174" formatCode="######"/>
    <numFmt numFmtId="175" formatCode="&quot;$&quot;#,##0.000_);\(&quot;$&quot;#,##0.000\)"/>
    <numFmt numFmtId="176" formatCode="[&gt;=1]&quot;$&quot;#,##0.00;[&lt;0.1]0.0%"/>
    <numFmt numFmtId="177" formatCode="&quot;$&quot;#,##0.0_);\(&quot;$&quot;#,##0.0\)"/>
    <numFmt numFmtId="178" formatCode="#,##0.0_);\(#,##0.0\)"/>
    <numFmt numFmtId="179" formatCode="&quot;$&quot;#,##0.0"/>
    <numFmt numFmtId="180" formatCode="_(* #,##0.0000_);_(* \(#,##0.0000\);_(* &quot;-&quot;??_);_(@_)"/>
    <numFmt numFmtId="181" formatCode="#,##0.000"/>
    <numFmt numFmtId="182" formatCode="&quot;$&quot;#,##0.00"/>
    <numFmt numFmtId="183" formatCode="&quot;$&quot;#,##0"/>
    <numFmt numFmtId="184" formatCode="[&gt;=1]&quot;$&quot;#,##0.000;[&lt;0.1]0.00%"/>
  </numFmts>
  <fonts count="63" x14ac:knownFonts="1">
    <font>
      <sz val="9"/>
      <name val="Arial"/>
    </font>
    <font>
      <sz val="9"/>
      <name val="Arial"/>
      <family val="2"/>
    </font>
    <font>
      <b/>
      <sz val="10"/>
      <name val="Arial"/>
      <family val="2"/>
    </font>
    <font>
      <sz val="8"/>
      <name val="Arial"/>
      <family val="2"/>
    </font>
    <font>
      <u/>
      <sz val="9"/>
      <color indexed="12"/>
      <name val="Arial"/>
      <family val="2"/>
    </font>
    <font>
      <b/>
      <sz val="9"/>
      <name val="Arial"/>
      <family val="2"/>
    </font>
    <font>
      <sz val="9"/>
      <name val="Arial"/>
      <family val="2"/>
    </font>
    <font>
      <b/>
      <sz val="8"/>
      <name val="Arial"/>
      <family val="2"/>
    </font>
    <font>
      <sz val="8"/>
      <name val="Arial"/>
      <family val="2"/>
    </font>
    <font>
      <i/>
      <sz val="8"/>
      <name val="Arial"/>
      <family val="2"/>
    </font>
    <font>
      <vertAlign val="superscript"/>
      <sz val="9"/>
      <name val="Arial"/>
      <family val="2"/>
    </font>
    <font>
      <sz val="10"/>
      <name val="Arial"/>
      <family val="2"/>
    </font>
    <font>
      <u/>
      <sz val="9"/>
      <name val="Arial"/>
      <family val="2"/>
    </font>
    <font>
      <sz val="9"/>
      <color indexed="48"/>
      <name val="Arial"/>
      <family val="2"/>
    </font>
    <font>
      <b/>
      <sz val="8"/>
      <color indexed="48"/>
      <name val="Arial"/>
      <family val="2"/>
    </font>
    <font>
      <b/>
      <sz val="9"/>
      <color indexed="48"/>
      <name val="Arial"/>
      <family val="2"/>
    </font>
    <font>
      <sz val="9"/>
      <color indexed="14"/>
      <name val="Arial"/>
      <family val="2"/>
    </font>
    <font>
      <b/>
      <sz val="11"/>
      <name val="Arial"/>
      <family val="2"/>
    </font>
    <font>
      <b/>
      <sz val="9"/>
      <color indexed="14"/>
      <name val="Arial"/>
      <family val="2"/>
    </font>
    <font>
      <sz val="9"/>
      <color indexed="12"/>
      <name val="Arial"/>
      <family val="2"/>
    </font>
    <font>
      <b/>
      <u/>
      <sz val="9"/>
      <name val="Arial"/>
      <family val="2"/>
    </font>
    <font>
      <sz val="8"/>
      <color indexed="14"/>
      <name val="Arial"/>
      <family val="2"/>
    </font>
    <font>
      <sz val="8"/>
      <color indexed="14"/>
      <name val="Arial"/>
      <family val="2"/>
    </font>
    <font>
      <vertAlign val="subscript"/>
      <sz val="8"/>
      <name val="Arial"/>
      <family val="2"/>
    </font>
    <font>
      <vertAlign val="subscript"/>
      <sz val="9"/>
      <name val="Arial"/>
      <family val="2"/>
    </font>
    <font>
      <b/>
      <sz val="8"/>
      <color indexed="10"/>
      <name val="Arial"/>
      <family val="2"/>
    </font>
    <font>
      <b/>
      <sz val="9"/>
      <color indexed="10"/>
      <name val="Arial"/>
      <family val="2"/>
    </font>
    <font>
      <u/>
      <sz val="8"/>
      <name val="Arial"/>
      <family val="2"/>
    </font>
    <font>
      <sz val="9"/>
      <name val="Calibri"/>
      <family val="2"/>
    </font>
    <font>
      <sz val="9"/>
      <name val="Arial"/>
      <family val="2"/>
    </font>
    <font>
      <i/>
      <sz val="9"/>
      <name val="Arial"/>
      <family val="2"/>
    </font>
    <font>
      <b/>
      <sz val="9"/>
      <color indexed="12"/>
      <name val="Arial"/>
      <family val="2"/>
    </font>
    <font>
      <sz val="11"/>
      <name val="Arial"/>
      <family val="2"/>
    </font>
    <font>
      <b/>
      <sz val="9"/>
      <color indexed="63"/>
      <name val="Arial"/>
      <family val="2"/>
    </font>
    <font>
      <sz val="9"/>
      <color indexed="63"/>
      <name val="Arial"/>
      <family val="2"/>
    </font>
    <font>
      <b/>
      <sz val="9"/>
      <name val="Calibri"/>
      <family val="2"/>
    </font>
    <font>
      <b/>
      <u/>
      <sz val="9"/>
      <color indexed="12"/>
      <name val="Arial"/>
      <family val="2"/>
    </font>
    <font>
      <b/>
      <vertAlign val="subscript"/>
      <sz val="9"/>
      <name val="Arial"/>
      <family val="2"/>
    </font>
    <font>
      <b/>
      <sz val="9"/>
      <color indexed="60"/>
      <name val="Arial"/>
      <family val="2"/>
    </font>
    <font>
      <vertAlign val="superscript"/>
      <sz val="8"/>
      <name val="Arial"/>
      <family val="2"/>
    </font>
    <font>
      <sz val="9"/>
      <name val="Arial"/>
      <family val="2"/>
    </font>
    <font>
      <b/>
      <u/>
      <sz val="8"/>
      <name val="Arial"/>
      <family val="2"/>
    </font>
    <font>
      <b/>
      <sz val="8"/>
      <name val="Calibri"/>
      <family val="2"/>
    </font>
    <font>
      <b/>
      <i/>
      <sz val="9"/>
      <name val="Arial"/>
      <family val="2"/>
    </font>
    <font>
      <b/>
      <i/>
      <u/>
      <sz val="9"/>
      <name val="Arial"/>
      <family val="2"/>
    </font>
    <font>
      <sz val="9"/>
      <name val="Arial"/>
      <family val="2"/>
    </font>
    <font>
      <sz val="9"/>
      <name val="Arial"/>
      <family val="2"/>
    </font>
    <font>
      <sz val="9"/>
      <name val="Arial"/>
      <family val="2"/>
    </font>
    <font>
      <sz val="9"/>
      <name val="Helvetica"/>
      <family val="2"/>
    </font>
    <font>
      <b/>
      <sz val="10"/>
      <name val="Calibri"/>
      <family val="2"/>
    </font>
    <font>
      <sz val="12"/>
      <name val="Arial"/>
      <family val="2"/>
    </font>
    <font>
      <sz val="10"/>
      <name val="Arial Unicode MS"/>
      <family val="2"/>
    </font>
    <font>
      <i/>
      <u/>
      <sz val="9"/>
      <name val="Arial"/>
      <family val="2"/>
    </font>
    <font>
      <b/>
      <sz val="9"/>
      <color rgb="FFFF0000"/>
      <name val="Arial"/>
      <family val="2"/>
    </font>
    <font>
      <sz val="9"/>
      <color rgb="FFFF0000"/>
      <name val="Arial"/>
      <family val="2"/>
    </font>
    <font>
      <sz val="9"/>
      <color rgb="FF00B0F0"/>
      <name val="Arial"/>
      <family val="2"/>
    </font>
    <font>
      <b/>
      <sz val="9"/>
      <color rgb="FF00B0F0"/>
      <name val="Arial"/>
      <family val="2"/>
    </font>
    <font>
      <sz val="9"/>
      <color theme="9" tint="-0.499984740745262"/>
      <name val="Arial"/>
      <family val="2"/>
    </font>
    <font>
      <b/>
      <sz val="9"/>
      <color theme="9" tint="-0.499984740745262"/>
      <name val="Arial"/>
      <family val="2"/>
    </font>
    <font>
      <sz val="9"/>
      <color rgb="FF0000FF"/>
      <name val="Arial"/>
      <family val="2"/>
    </font>
    <font>
      <sz val="9"/>
      <color theme="3" tint="-0.249977111117893"/>
      <name val="Arial"/>
      <family val="2"/>
    </font>
    <font>
      <b/>
      <sz val="8"/>
      <color rgb="FFFF0000"/>
      <name val="Arial"/>
      <family val="2"/>
    </font>
    <font>
      <b/>
      <sz val="8"/>
      <color indexed="14"/>
      <name val="Arial"/>
      <family val="2"/>
    </font>
  </fonts>
  <fills count="32">
    <fill>
      <patternFill patternType="none"/>
    </fill>
    <fill>
      <patternFill patternType="gray125"/>
    </fill>
    <fill>
      <patternFill patternType="solid">
        <fgColor indexed="51"/>
        <bgColor indexed="64"/>
      </patternFill>
    </fill>
    <fill>
      <patternFill patternType="solid">
        <fgColor indexed="13"/>
        <bgColor indexed="64"/>
      </patternFill>
    </fill>
    <fill>
      <patternFill patternType="solid">
        <fgColor indexed="15"/>
        <bgColor indexed="64"/>
      </patternFill>
    </fill>
    <fill>
      <patternFill patternType="solid">
        <fgColor indexed="11"/>
        <bgColor indexed="64"/>
      </patternFill>
    </fill>
    <fill>
      <patternFill patternType="solid">
        <fgColor indexed="5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D60093"/>
        <bgColor indexed="64"/>
      </patternFill>
    </fill>
    <fill>
      <patternFill patternType="solid">
        <fgColor theme="2" tint="-0.249977111117893"/>
        <bgColor indexed="64"/>
      </patternFill>
    </fill>
    <fill>
      <patternFill patternType="solid">
        <fgColor rgb="FF00FFFF"/>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79998168889431442"/>
        <bgColor indexed="64"/>
      </patternFill>
    </fill>
    <fill>
      <patternFill patternType="solid">
        <fgColor rgb="FF92D050"/>
        <bgColor indexed="64"/>
      </patternFill>
    </fill>
    <fill>
      <patternFill patternType="solid">
        <fgColor theme="2"/>
        <bgColor indexed="64"/>
      </patternFill>
    </fill>
    <fill>
      <patternFill patternType="solid">
        <fgColor rgb="FFFF99FF"/>
        <bgColor indexed="64"/>
      </patternFill>
    </fill>
    <fill>
      <patternFill patternType="solid">
        <fgColor rgb="FFCC99FF"/>
        <bgColor indexed="64"/>
      </patternFill>
    </fill>
    <fill>
      <patternFill patternType="solid">
        <fgColor theme="8" tint="0.79998168889431442"/>
        <bgColor indexed="64"/>
      </patternFill>
    </fill>
    <fill>
      <patternFill patternType="solid">
        <fgColor theme="1"/>
        <bgColor indexed="64"/>
      </patternFill>
    </fill>
    <fill>
      <patternFill patternType="solid">
        <fgColor rgb="FF66FFCC"/>
        <bgColor indexed="64"/>
      </patternFill>
    </fill>
    <fill>
      <patternFill patternType="solid">
        <fgColor rgb="FFFFCC66"/>
        <bgColor indexed="64"/>
      </patternFill>
    </fill>
    <fill>
      <patternFill patternType="solid">
        <fgColor rgb="FFCCFF66"/>
        <bgColor indexed="64"/>
      </patternFill>
    </fill>
    <fill>
      <patternFill patternType="solid">
        <fgColor rgb="FF66FF33"/>
        <bgColor indexed="64"/>
      </patternFill>
    </fill>
    <fill>
      <patternFill patternType="solid">
        <fgColor rgb="FF99FF33"/>
        <bgColor indexed="64"/>
      </patternFill>
    </fill>
    <fill>
      <patternFill patternType="solid">
        <fgColor rgb="FF99CCFF"/>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rgb="FFFFCCCC"/>
        <bgColor indexed="64"/>
      </patternFill>
    </fill>
    <fill>
      <patternFill patternType="solid">
        <fgColor theme="4" tint="0.79998168889431442"/>
        <bgColor indexed="64"/>
      </patternFill>
    </fill>
  </fills>
  <borders count="35">
    <border>
      <left/>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bottom style="medium">
        <color auto="1"/>
      </bottom>
      <diagonal/>
    </border>
    <border>
      <left/>
      <right/>
      <top style="medium">
        <color auto="1"/>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medium">
        <color auto="1"/>
      </right>
      <top style="medium">
        <color auto="1"/>
      </top>
      <bottom style="medium">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style="hair">
        <color auto="1"/>
      </right>
      <top/>
      <bottom/>
      <diagonal/>
    </border>
    <border>
      <left/>
      <right style="thin">
        <color auto="1"/>
      </right>
      <top style="medium">
        <color auto="1"/>
      </top>
      <bottom/>
      <diagonal/>
    </border>
    <border>
      <left style="thin">
        <color theme="0"/>
      </left>
      <right/>
      <top style="thin">
        <color theme="0"/>
      </top>
      <bottom/>
      <diagonal/>
    </border>
    <border>
      <left/>
      <right/>
      <top style="thin">
        <color theme="0"/>
      </top>
      <bottom/>
      <diagonal/>
    </border>
    <border>
      <left style="thin">
        <color theme="0"/>
      </left>
      <right/>
      <top/>
      <bottom style="thin">
        <color theme="0"/>
      </bottom>
      <diagonal/>
    </border>
    <border>
      <left/>
      <right/>
      <top/>
      <bottom style="thin">
        <color theme="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s>
  <cellStyleXfs count="9">
    <xf numFmtId="0" fontId="0" fillId="0" borderId="0"/>
    <xf numFmtId="43" fontId="1" fillId="0" borderId="0" applyFon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0" fontId="4" fillId="0" borderId="0" applyNumberFormat="0" applyFill="0" applyBorder="0" applyAlignment="0" applyProtection="0">
      <alignment vertical="top"/>
      <protection locked="0"/>
    </xf>
    <xf numFmtId="0" fontId="6" fillId="0" borderId="0"/>
    <xf numFmtId="9" fontId="1" fillId="0" borderId="0" applyFont="0" applyFill="0" applyBorder="0" applyAlignment="0" applyProtection="0"/>
    <xf numFmtId="9" fontId="6" fillId="0" borderId="0" applyFont="0" applyFill="0" applyBorder="0" applyAlignment="0" applyProtection="0"/>
  </cellStyleXfs>
  <cellXfs count="968">
    <xf numFmtId="0" fontId="0" fillId="0" borderId="0" xfId="0"/>
    <xf numFmtId="0" fontId="2" fillId="0" borderId="0" xfId="0" applyFont="1"/>
    <xf numFmtId="164" fontId="0" fillId="0" borderId="0" xfId="3" applyNumberFormat="1" applyFont="1"/>
    <xf numFmtId="0" fontId="3" fillId="0" borderId="0" xfId="0" applyFont="1"/>
    <xf numFmtId="9" fontId="0" fillId="0" borderId="0" xfId="0" applyNumberFormat="1"/>
    <xf numFmtId="9" fontId="0" fillId="0" borderId="0" xfId="7" applyFont="1"/>
    <xf numFmtId="2" fontId="0" fillId="0" borderId="0" xfId="0" applyNumberFormat="1"/>
    <xf numFmtId="168" fontId="0" fillId="0" borderId="0" xfId="0" applyNumberFormat="1"/>
    <xf numFmtId="0" fontId="5" fillId="0" borderId="0" xfId="0" applyFont="1"/>
    <xf numFmtId="168" fontId="5" fillId="0" borderId="0" xfId="0" applyNumberFormat="1" applyFont="1"/>
    <xf numFmtId="0" fontId="0" fillId="0" borderId="0" xfId="0" applyAlignment="1">
      <alignment horizontal="left" indent="1"/>
    </xf>
    <xf numFmtId="9" fontId="5" fillId="0" borderId="0" xfId="7" applyFont="1"/>
    <xf numFmtId="0" fontId="7" fillId="0" borderId="0" xfId="0" applyFont="1" applyAlignment="1">
      <alignment horizontal="right"/>
    </xf>
    <xf numFmtId="0" fontId="7" fillId="0" borderId="0" xfId="0" applyFont="1"/>
    <xf numFmtId="0" fontId="1" fillId="0" borderId="0" xfId="0" applyFont="1"/>
    <xf numFmtId="169" fontId="0" fillId="0" borderId="0" xfId="7" applyNumberFormat="1" applyFont="1"/>
    <xf numFmtId="169" fontId="0" fillId="0" borderId="0" xfId="0" applyNumberFormat="1"/>
    <xf numFmtId="167" fontId="6" fillId="0" borderId="0" xfId="1" applyNumberFormat="1" applyFont="1"/>
    <xf numFmtId="165" fontId="6" fillId="0" borderId="0" xfId="1" applyNumberFormat="1" applyFont="1"/>
    <xf numFmtId="170" fontId="0" fillId="0" borderId="0" xfId="0" applyNumberFormat="1"/>
    <xf numFmtId="43" fontId="6" fillId="0" borderId="0" xfId="1" applyNumberFormat="1" applyFont="1"/>
    <xf numFmtId="43" fontId="0" fillId="0" borderId="0" xfId="0" applyNumberFormat="1"/>
    <xf numFmtId="165" fontId="0" fillId="0" borderId="0" xfId="1" applyNumberFormat="1" applyFont="1"/>
    <xf numFmtId="166" fontId="0" fillId="0" borderId="0" xfId="0" applyNumberFormat="1"/>
    <xf numFmtId="170" fontId="5" fillId="0" borderId="0" xfId="0" applyNumberFormat="1" applyFont="1"/>
    <xf numFmtId="165" fontId="5" fillId="0" borderId="0" xfId="0" applyNumberFormat="1" applyFont="1"/>
    <xf numFmtId="167" fontId="5" fillId="0" borderId="0" xfId="0" applyNumberFormat="1" applyFont="1"/>
    <xf numFmtId="0" fontId="0" fillId="0" borderId="1" xfId="0" applyBorder="1"/>
    <xf numFmtId="0" fontId="8" fillId="0" borderId="0" xfId="0" applyFont="1"/>
    <xf numFmtId="43" fontId="5" fillId="0" borderId="0" xfId="0" applyNumberFormat="1" applyFont="1"/>
    <xf numFmtId="0" fontId="0" fillId="0" borderId="0" xfId="0" quotePrefix="1"/>
    <xf numFmtId="169" fontId="5" fillId="0" borderId="0" xfId="7" applyNumberFormat="1" applyFont="1"/>
    <xf numFmtId="0" fontId="6" fillId="0" borderId="0" xfId="0" applyFont="1"/>
    <xf numFmtId="170" fontId="6" fillId="0" borderId="0" xfId="0" applyNumberFormat="1" applyFont="1"/>
    <xf numFmtId="165" fontId="6" fillId="0" borderId="0" xfId="0" applyNumberFormat="1" applyFont="1"/>
    <xf numFmtId="167" fontId="6" fillId="0" borderId="0" xfId="0" applyNumberFormat="1" applyFont="1"/>
    <xf numFmtId="9" fontId="6" fillId="0" borderId="0" xfId="7" applyFont="1"/>
    <xf numFmtId="164" fontId="5" fillId="0" borderId="0" xfId="3" applyNumberFormat="1" applyFont="1"/>
    <xf numFmtId="165" fontId="0" fillId="0" borderId="0" xfId="0" applyNumberFormat="1"/>
    <xf numFmtId="43" fontId="7" fillId="0" borderId="0" xfId="0" applyNumberFormat="1" applyFont="1"/>
    <xf numFmtId="0" fontId="5" fillId="0" borderId="2" xfId="0" applyFont="1" applyBorder="1"/>
    <xf numFmtId="0" fontId="5" fillId="0" borderId="3" xfId="0" applyFont="1" applyBorder="1"/>
    <xf numFmtId="9" fontId="5" fillId="0" borderId="4" xfId="7" applyFont="1" applyBorder="1"/>
    <xf numFmtId="0" fontId="5" fillId="0" borderId="5" xfId="0" applyFont="1" applyBorder="1"/>
    <xf numFmtId="0" fontId="5" fillId="0" borderId="6" xfId="0" applyFont="1" applyBorder="1"/>
    <xf numFmtId="9" fontId="5" fillId="0" borderId="7" xfId="0" applyNumberFormat="1" applyFont="1" applyBorder="1"/>
    <xf numFmtId="10" fontId="0" fillId="0" borderId="0" xfId="0" applyNumberFormat="1"/>
    <xf numFmtId="2" fontId="0" fillId="0" borderId="0" xfId="3" applyNumberFormat="1" applyFont="1"/>
    <xf numFmtId="0" fontId="11" fillId="0" borderId="0" xfId="0" applyFont="1"/>
    <xf numFmtId="10" fontId="0" fillId="0" borderId="0" xfId="7" applyNumberFormat="1" applyFont="1"/>
    <xf numFmtId="1" fontId="0" fillId="0" borderId="0" xfId="0" applyNumberFormat="1"/>
    <xf numFmtId="164" fontId="13" fillId="0" borderId="0" xfId="3" applyNumberFormat="1" applyFont="1"/>
    <xf numFmtId="0" fontId="14" fillId="0" borderId="0" xfId="0" applyFont="1" applyAlignment="1">
      <alignment horizontal="right"/>
    </xf>
    <xf numFmtId="0" fontId="3" fillId="0" borderId="0" xfId="0" applyFont="1" applyFill="1" applyBorder="1" applyAlignment="1">
      <alignment horizontal="center"/>
    </xf>
    <xf numFmtId="0" fontId="13" fillId="0" borderId="0" xfId="0" applyFont="1"/>
    <xf numFmtId="0" fontId="16" fillId="0" borderId="0" xfId="0" applyFont="1"/>
    <xf numFmtId="9" fontId="16" fillId="0" borderId="0" xfId="0" applyNumberFormat="1" applyFont="1"/>
    <xf numFmtId="2" fontId="7" fillId="0" borderId="0" xfId="0" applyNumberFormat="1" applyFont="1"/>
    <xf numFmtId="0" fontId="0" fillId="0" borderId="0" xfId="0" applyAlignment="1">
      <alignment wrapText="1"/>
    </xf>
    <xf numFmtId="0" fontId="17" fillId="0" borderId="0" xfId="0" applyFont="1"/>
    <xf numFmtId="0" fontId="18" fillId="0" borderId="0" xfId="0" applyFont="1"/>
    <xf numFmtId="0" fontId="5" fillId="0" borderId="4" xfId="0" applyFont="1" applyBorder="1"/>
    <xf numFmtId="0" fontId="19" fillId="0" borderId="0" xfId="0" applyFont="1"/>
    <xf numFmtId="165" fontId="19" fillId="0" borderId="0" xfId="1" applyNumberFormat="1" applyFont="1"/>
    <xf numFmtId="44" fontId="19" fillId="0" borderId="0" xfId="3" applyFont="1"/>
    <xf numFmtId="1" fontId="3" fillId="0" borderId="0" xfId="0" applyNumberFormat="1" applyFont="1" applyAlignment="1">
      <alignment horizontal="right"/>
    </xf>
    <xf numFmtId="167" fontId="0" fillId="0" borderId="0" xfId="1" applyNumberFormat="1" applyFont="1"/>
    <xf numFmtId="164" fontId="7" fillId="0" borderId="0" xfId="3" applyNumberFormat="1" applyFont="1"/>
    <xf numFmtId="166" fontId="6" fillId="0" borderId="0" xfId="0" applyNumberFormat="1" applyFont="1"/>
    <xf numFmtId="0" fontId="6" fillId="0" borderId="0" xfId="0" applyFont="1" applyAlignment="1">
      <alignment wrapText="1"/>
    </xf>
    <xf numFmtId="0" fontId="11" fillId="0" borderId="0" xfId="0" applyFont="1" applyBorder="1"/>
    <xf numFmtId="0" fontId="0" fillId="0" borderId="0" xfId="0" applyBorder="1"/>
    <xf numFmtId="9" fontId="5" fillId="0" borderId="4" xfId="7" applyNumberFormat="1" applyFont="1" applyBorder="1"/>
    <xf numFmtId="7" fontId="0" fillId="0" borderId="0" xfId="0" applyNumberFormat="1"/>
    <xf numFmtId="0" fontId="5" fillId="0" borderId="0" xfId="0" applyFont="1" applyAlignment="1">
      <alignment wrapText="1"/>
    </xf>
    <xf numFmtId="0" fontId="18" fillId="0" borderId="8" xfId="0" applyFont="1" applyBorder="1" applyAlignment="1">
      <alignment horizontal="center" wrapText="1"/>
    </xf>
    <xf numFmtId="44" fontId="0" fillId="0" borderId="0" xfId="0" applyNumberFormat="1" applyBorder="1"/>
    <xf numFmtId="0" fontId="18" fillId="0" borderId="2" xfId="0" applyFont="1" applyBorder="1" applyAlignment="1">
      <alignment horizontal="left" indent="1"/>
    </xf>
    <xf numFmtId="0" fontId="18" fillId="0" borderId="5" xfId="0" applyFont="1" applyBorder="1" applyAlignment="1">
      <alignment horizontal="left" indent="1"/>
    </xf>
    <xf numFmtId="0" fontId="0" fillId="0" borderId="0" xfId="0" applyAlignment="1"/>
    <xf numFmtId="0" fontId="7" fillId="0" borderId="0" xfId="0" applyFont="1" applyAlignment="1">
      <alignment horizontal="center"/>
    </xf>
    <xf numFmtId="1" fontId="7" fillId="0" borderId="0" xfId="0" applyNumberFormat="1" applyFont="1"/>
    <xf numFmtId="0" fontId="20" fillId="0" borderId="0" xfId="0" applyFont="1"/>
    <xf numFmtId="0" fontId="5" fillId="2" borderId="0" xfId="0" applyFont="1" applyFill="1" applyAlignment="1">
      <alignment horizontal="left" indent="1"/>
    </xf>
    <xf numFmtId="0" fontId="0" fillId="2" borderId="0" xfId="0" applyFill="1"/>
    <xf numFmtId="169" fontId="22" fillId="0" borderId="0" xfId="0" applyNumberFormat="1" applyFont="1"/>
    <xf numFmtId="1" fontId="5" fillId="0" borderId="0" xfId="0" applyNumberFormat="1" applyFont="1"/>
    <xf numFmtId="165" fontId="5" fillId="0" borderId="0" xfId="1" applyNumberFormat="1" applyFont="1"/>
    <xf numFmtId="2" fontId="6" fillId="0" borderId="0" xfId="0" applyNumberFormat="1" applyFont="1"/>
    <xf numFmtId="0" fontId="18" fillId="0" borderId="0" xfId="0" applyFont="1" applyBorder="1" applyAlignment="1">
      <alignment horizontal="center" wrapText="1"/>
    </xf>
    <xf numFmtId="0" fontId="3" fillId="0" borderId="0" xfId="0" applyFont="1" applyAlignment="1">
      <alignment horizontal="left" indent="2"/>
    </xf>
    <xf numFmtId="0" fontId="3" fillId="0" borderId="0" xfId="0" applyFont="1" applyAlignment="1">
      <alignment horizontal="left" indent="1"/>
    </xf>
    <xf numFmtId="164" fontId="3" fillId="0" borderId="0" xfId="0" applyNumberFormat="1" applyFont="1"/>
    <xf numFmtId="0" fontId="7" fillId="0" borderId="0" xfId="0" applyFont="1" applyAlignment="1">
      <alignment horizontal="right" wrapText="1"/>
    </xf>
    <xf numFmtId="0" fontId="0" fillId="0" borderId="0" xfId="0" applyAlignment="1">
      <alignment horizontal="right" wrapText="1"/>
    </xf>
    <xf numFmtId="0" fontId="0" fillId="0" borderId="0" xfId="0" applyAlignment="1">
      <alignment horizontal="left" indent="2"/>
    </xf>
    <xf numFmtId="0" fontId="4" fillId="0" borderId="0" xfId="5" applyAlignment="1" applyProtection="1"/>
    <xf numFmtId="168" fontId="0" fillId="0" borderId="0" xfId="0" applyNumberFormat="1" applyAlignment="1">
      <alignment horizontal="right" indent="1"/>
    </xf>
    <xf numFmtId="169" fontId="3" fillId="0" borderId="0" xfId="7" applyNumberFormat="1" applyFont="1" applyAlignment="1">
      <alignment horizontal="left" indent="2"/>
    </xf>
    <xf numFmtId="0" fontId="1" fillId="0" borderId="0" xfId="0" applyFont="1" applyAlignment="1">
      <alignment horizontal="left" indent="1"/>
    </xf>
    <xf numFmtId="168" fontId="0" fillId="3" borderId="0" xfId="0" applyNumberFormat="1" applyFill="1"/>
    <xf numFmtId="168" fontId="0" fillId="0" borderId="0" xfId="0" applyNumberFormat="1" applyAlignment="1">
      <alignment horizontal="right" indent="2"/>
    </xf>
    <xf numFmtId="0" fontId="3" fillId="0" borderId="0" xfId="0" applyFont="1" applyAlignment="1">
      <alignment horizontal="right"/>
    </xf>
    <xf numFmtId="9" fontId="26" fillId="0" borderId="0" xfId="0" applyNumberFormat="1" applyFont="1"/>
    <xf numFmtId="0" fontId="25" fillId="0" borderId="0" xfId="0" applyFont="1" applyAlignment="1">
      <alignment horizontal="right"/>
    </xf>
    <xf numFmtId="168" fontId="5" fillId="4" borderId="0" xfId="0" applyNumberFormat="1" applyFont="1" applyFill="1"/>
    <xf numFmtId="168" fontId="0" fillId="4" borderId="0" xfId="0" applyNumberFormat="1" applyFill="1" applyAlignment="1">
      <alignment horizontal="right" indent="1"/>
    </xf>
    <xf numFmtId="0" fontId="3" fillId="0" borderId="0" xfId="0" applyFont="1" applyBorder="1"/>
    <xf numFmtId="0" fontId="14" fillId="5" borderId="8" xfId="0" applyFont="1" applyFill="1" applyBorder="1" applyAlignment="1">
      <alignment horizontal="right"/>
    </xf>
    <xf numFmtId="0" fontId="14" fillId="0" borderId="1" xfId="0" applyFont="1" applyFill="1" applyBorder="1" applyAlignment="1">
      <alignment horizontal="right"/>
    </xf>
    <xf numFmtId="9" fontId="5" fillId="0" borderId="0" xfId="7" applyFont="1" applyBorder="1"/>
    <xf numFmtId="9" fontId="5" fillId="0" borderId="0" xfId="0" applyNumberFormat="1" applyFont="1" applyBorder="1"/>
    <xf numFmtId="0" fontId="18" fillId="0" borderId="0" xfId="0" applyFont="1" applyBorder="1" applyAlignment="1">
      <alignment horizontal="left" indent="1"/>
    </xf>
    <xf numFmtId="0" fontId="5" fillId="0" borderId="0" xfId="0" applyFont="1" applyBorder="1"/>
    <xf numFmtId="0" fontId="18" fillId="0" borderId="0" xfId="0" applyFont="1" applyBorder="1" applyAlignment="1">
      <alignment horizontal="right"/>
    </xf>
    <xf numFmtId="165" fontId="5" fillId="0" borderId="0" xfId="0" applyNumberFormat="1" applyFont="1" applyBorder="1"/>
    <xf numFmtId="165" fontId="6" fillId="0" borderId="0" xfId="0" applyNumberFormat="1" applyFont="1" applyBorder="1"/>
    <xf numFmtId="0" fontId="5" fillId="3" borderId="0" xfId="0" quotePrefix="1" applyFont="1" applyFill="1" applyAlignment="1">
      <alignment horizontal="right" indent="1"/>
    </xf>
    <xf numFmtId="0" fontId="0" fillId="3" borderId="0" xfId="0" applyFill="1"/>
    <xf numFmtId="168" fontId="0" fillId="3" borderId="0" xfId="0" applyNumberFormat="1" applyFill="1" applyAlignment="1">
      <alignment horizontal="right" indent="2"/>
    </xf>
    <xf numFmtId="169" fontId="3" fillId="0" borderId="0" xfId="0" applyNumberFormat="1" applyFont="1"/>
    <xf numFmtId="168" fontId="6" fillId="0" borderId="0" xfId="0" applyNumberFormat="1" applyFont="1"/>
    <xf numFmtId="0" fontId="0" fillId="0" borderId="0" xfId="0" applyBorder="1" applyAlignment="1">
      <alignment vertical="center" wrapText="1"/>
    </xf>
    <xf numFmtId="0" fontId="0" fillId="0" borderId="9" xfId="0" applyBorder="1"/>
    <xf numFmtId="166" fontId="0" fillId="0" borderId="10" xfId="0" applyNumberFormat="1" applyBorder="1" applyAlignment="1">
      <alignment horizontal="right" indent="1"/>
    </xf>
    <xf numFmtId="43" fontId="0" fillId="0" borderId="0" xfId="0" applyNumberFormat="1" applyBorder="1"/>
    <xf numFmtId="0" fontId="0" fillId="0" borderId="11" xfId="0" applyBorder="1"/>
    <xf numFmtId="0" fontId="14" fillId="0" borderId="0" xfId="0" applyFont="1" applyFill="1" applyBorder="1" applyAlignment="1">
      <alignment horizontal="right"/>
    </xf>
    <xf numFmtId="165" fontId="0" fillId="0" borderId="0" xfId="1" applyNumberFormat="1" applyFont="1" applyBorder="1"/>
    <xf numFmtId="165" fontId="3" fillId="0" borderId="0" xfId="1" applyNumberFormat="1" applyFont="1" applyBorder="1"/>
    <xf numFmtId="169" fontId="16" fillId="0" borderId="0" xfId="0" applyNumberFormat="1" applyFont="1" applyBorder="1"/>
    <xf numFmtId="9" fontId="0" fillId="0" borderId="0" xfId="0" applyNumberFormat="1" applyBorder="1"/>
    <xf numFmtId="0" fontId="14" fillId="3" borderId="8" xfId="0" applyFont="1" applyFill="1" applyBorder="1" applyAlignment="1">
      <alignment horizontal="right"/>
    </xf>
    <xf numFmtId="0" fontId="53" fillId="0" borderId="0" xfId="0" applyFont="1"/>
    <xf numFmtId="0" fontId="6" fillId="0" borderId="0" xfId="0" applyFont="1" applyAlignment="1">
      <alignment horizontal="left" indent="1"/>
    </xf>
    <xf numFmtId="0" fontId="0" fillId="0" borderId="0" xfId="0" applyBorder="1" applyAlignment="1">
      <alignment wrapText="1"/>
    </xf>
    <xf numFmtId="167" fontId="6" fillId="0" borderId="0" xfId="0" applyNumberFormat="1" applyFont="1" applyBorder="1"/>
    <xf numFmtId="14" fontId="5" fillId="0" borderId="0" xfId="0" applyNumberFormat="1" applyFont="1" applyBorder="1"/>
    <xf numFmtId="0" fontId="5" fillId="0" borderId="0" xfId="0" applyFont="1" applyBorder="1" applyAlignment="1">
      <alignment wrapText="1"/>
    </xf>
    <xf numFmtId="167" fontId="5" fillId="0" borderId="0" xfId="0" applyNumberFormat="1" applyFont="1" applyBorder="1"/>
    <xf numFmtId="168" fontId="0" fillId="0" borderId="0" xfId="0" applyNumberFormat="1" applyBorder="1"/>
    <xf numFmtId="0" fontId="0" fillId="0" borderId="0" xfId="0" applyAlignment="1">
      <alignment vertical="center" wrapText="1"/>
    </xf>
    <xf numFmtId="0" fontId="5" fillId="0" borderId="0" xfId="0" applyFont="1" applyAlignment="1">
      <alignment vertical="center" wrapText="1"/>
    </xf>
    <xf numFmtId="0" fontId="54" fillId="0" borderId="0" xfId="0" applyFont="1" applyAlignment="1">
      <alignment horizontal="left" indent="1"/>
    </xf>
    <xf numFmtId="0" fontId="54" fillId="0" borderId="0" xfId="0" applyFont="1"/>
    <xf numFmtId="168" fontId="54" fillId="0" borderId="0" xfId="0" applyNumberFormat="1" applyFont="1"/>
    <xf numFmtId="168" fontId="54" fillId="7" borderId="0" xfId="0" applyNumberFormat="1" applyFont="1" applyFill="1"/>
    <xf numFmtId="0" fontId="55" fillId="0" borderId="0" xfId="0" applyFont="1" applyAlignment="1">
      <alignment horizontal="left" indent="1"/>
    </xf>
    <xf numFmtId="0" fontId="55" fillId="0" borderId="0" xfId="0" applyFont="1"/>
    <xf numFmtId="168" fontId="55" fillId="0" borderId="0" xfId="0" applyNumberFormat="1" applyFont="1"/>
    <xf numFmtId="168" fontId="53" fillId="0" borderId="0" xfId="0" applyNumberFormat="1" applyFont="1"/>
    <xf numFmtId="0" fontId="56" fillId="0" borderId="0" xfId="0" applyFont="1"/>
    <xf numFmtId="168" fontId="56" fillId="0" borderId="0" xfId="0" applyNumberFormat="1" applyFont="1"/>
    <xf numFmtId="0" fontId="6" fillId="0" borderId="0" xfId="0" applyFont="1" applyAlignment="1">
      <alignment horizontal="left"/>
    </xf>
    <xf numFmtId="0" fontId="3" fillId="0" borderId="0" xfId="0" applyFont="1" applyAlignment="1">
      <alignment horizontal="left"/>
    </xf>
    <xf numFmtId="0" fontId="5" fillId="0" borderId="0" xfId="0" applyFont="1" applyAlignment="1">
      <alignment horizontal="left"/>
    </xf>
    <xf numFmtId="0" fontId="57" fillId="0" borderId="0" xfId="0" applyFont="1" applyAlignment="1">
      <alignment horizontal="left" indent="1"/>
    </xf>
    <xf numFmtId="0" fontId="57" fillId="0" borderId="0" xfId="0" applyFont="1"/>
    <xf numFmtId="168" fontId="57" fillId="0" borderId="0" xfId="0" applyNumberFormat="1" applyFont="1"/>
    <xf numFmtId="0" fontId="58" fillId="0" borderId="0" xfId="0" applyFont="1" applyAlignment="1">
      <alignment horizontal="left"/>
    </xf>
    <xf numFmtId="0" fontId="58" fillId="0" borderId="0" xfId="0" applyFont="1"/>
    <xf numFmtId="168" fontId="58" fillId="0" borderId="0" xfId="0" applyNumberFormat="1" applyFont="1"/>
    <xf numFmtId="0" fontId="14" fillId="0" borderId="0" xfId="0" applyFont="1" applyBorder="1" applyAlignment="1">
      <alignment horizontal="right"/>
    </xf>
    <xf numFmtId="2" fontId="0" fillId="0" borderId="0" xfId="0" applyNumberFormat="1" applyBorder="1"/>
    <xf numFmtId="2" fontId="3" fillId="0" borderId="0" xfId="0" applyNumberFormat="1" applyFont="1" applyBorder="1"/>
    <xf numFmtId="166" fontId="0" fillId="0" borderId="0" xfId="0" applyNumberFormat="1" applyBorder="1"/>
    <xf numFmtId="0" fontId="7" fillId="0" borderId="0" xfId="0" applyFont="1" applyBorder="1"/>
    <xf numFmtId="0" fontId="0" fillId="0" borderId="0" xfId="0" applyBorder="1" applyAlignment="1">
      <alignment horizontal="left" vertical="center" wrapText="1" indent="1"/>
    </xf>
    <xf numFmtId="9" fontId="18" fillId="0" borderId="0" xfId="7" applyFont="1" applyBorder="1" applyAlignment="1">
      <alignment horizontal="center" wrapText="1"/>
    </xf>
    <xf numFmtId="165" fontId="5" fillId="0" borderId="0" xfId="1" applyNumberFormat="1" applyFont="1" applyBorder="1"/>
    <xf numFmtId="3" fontId="3" fillId="0" borderId="0" xfId="0" applyNumberFormat="1" applyFont="1" applyAlignment="1">
      <alignment horizontal="right" wrapText="1"/>
    </xf>
    <xf numFmtId="171" fontId="0" fillId="0" borderId="0" xfId="0" applyNumberFormat="1"/>
    <xf numFmtId="171" fontId="0" fillId="0" borderId="0" xfId="1" applyNumberFormat="1" applyFont="1" applyBorder="1"/>
    <xf numFmtId="0" fontId="6" fillId="0" borderId="9" xfId="0" applyFont="1" applyBorder="1" applyAlignment="1">
      <alignment horizontal="right"/>
    </xf>
    <xf numFmtId="0" fontId="3" fillId="0" borderId="0" xfId="0" applyFont="1" applyFill="1"/>
    <xf numFmtId="0" fontId="0" fillId="0" borderId="0" xfId="0" applyFill="1"/>
    <xf numFmtId="165" fontId="6" fillId="0" borderId="0" xfId="1" applyNumberFormat="1" applyFont="1" applyFill="1"/>
    <xf numFmtId="165" fontId="0" fillId="0" borderId="0" xfId="1" applyNumberFormat="1" applyFont="1" applyFill="1" applyBorder="1"/>
    <xf numFmtId="1" fontId="5" fillId="0" borderId="0" xfId="0" applyNumberFormat="1" applyFont="1" applyBorder="1"/>
    <xf numFmtId="0" fontId="15" fillId="0" borderId="0" xfId="0" applyFont="1"/>
    <xf numFmtId="9" fontId="21" fillId="0" borderId="0" xfId="0" applyNumberFormat="1" applyFont="1"/>
    <xf numFmtId="9" fontId="21" fillId="0" borderId="0" xfId="0" applyNumberFormat="1" applyFont="1" applyBorder="1" applyAlignment="1">
      <alignment horizontal="left" vertical="center" indent="1"/>
    </xf>
    <xf numFmtId="0" fontId="0" fillId="0" borderId="0" xfId="0" applyAlignment="1">
      <alignment horizontal="left" vertical="center" wrapText="1" indent="1"/>
    </xf>
    <xf numFmtId="9" fontId="21" fillId="0" borderId="0" xfId="0" applyNumberFormat="1" applyFont="1" applyBorder="1" applyAlignment="1">
      <alignment horizontal="left" vertical="center" wrapText="1" indent="1"/>
    </xf>
    <xf numFmtId="0" fontId="14" fillId="0" borderId="3" xfId="0" applyFont="1" applyBorder="1" applyAlignment="1">
      <alignment horizontal="right"/>
    </xf>
    <xf numFmtId="0" fontId="14" fillId="3" borderId="12" xfId="0" applyFont="1" applyFill="1" applyBorder="1" applyAlignment="1">
      <alignment horizontal="right"/>
    </xf>
    <xf numFmtId="171" fontId="0" fillId="0" borderId="0" xfId="0" applyNumberFormat="1" applyBorder="1"/>
    <xf numFmtId="167" fontId="0" fillId="0" borderId="0" xfId="1" applyNumberFormat="1" applyFont="1" applyBorder="1"/>
    <xf numFmtId="0" fontId="7" fillId="0" borderId="0" xfId="0" applyFont="1" applyBorder="1" applyAlignment="1">
      <alignment horizontal="right"/>
    </xf>
    <xf numFmtId="165" fontId="0" fillId="0" borderId="0" xfId="0" applyNumberFormat="1" applyBorder="1"/>
    <xf numFmtId="43" fontId="7" fillId="0" borderId="0" xfId="0" applyNumberFormat="1" applyFont="1" applyBorder="1"/>
    <xf numFmtId="43" fontId="5" fillId="0" borderId="0" xfId="1" applyNumberFormat="1" applyFont="1"/>
    <xf numFmtId="169" fontId="6" fillId="0" borderId="0" xfId="0" applyNumberFormat="1" applyFont="1" applyBorder="1"/>
    <xf numFmtId="9" fontId="3" fillId="0" borderId="0" xfId="0" applyNumberFormat="1" applyFont="1" applyBorder="1" applyAlignment="1">
      <alignment horizontal="left" vertical="center" indent="1"/>
    </xf>
    <xf numFmtId="0" fontId="6" fillId="0" borderId="0" xfId="0" applyFont="1" applyAlignment="1">
      <alignment horizontal="left" vertical="center" wrapText="1" indent="1"/>
    </xf>
    <xf numFmtId="9" fontId="6" fillId="0" borderId="0" xfId="0" applyNumberFormat="1" applyFont="1" applyBorder="1"/>
    <xf numFmtId="7" fontId="16" fillId="0" borderId="0" xfId="3" applyNumberFormat="1" applyFont="1"/>
    <xf numFmtId="8" fontId="0" fillId="0" borderId="0" xfId="0" applyNumberFormat="1"/>
    <xf numFmtId="0" fontId="0" fillId="0" borderId="0" xfId="0" applyAlignment="1">
      <alignment horizontal="right" vertical="center" wrapText="1" indent="1"/>
    </xf>
    <xf numFmtId="0" fontId="7" fillId="0" borderId="0" xfId="0" applyFont="1" applyAlignment="1">
      <alignment horizontal="left" vertical="center" wrapText="1" indent="1"/>
    </xf>
    <xf numFmtId="165" fontId="29" fillId="8" borderId="8" xfId="1" applyNumberFormat="1" applyFont="1" applyFill="1" applyBorder="1"/>
    <xf numFmtId="0" fontId="0" fillId="8" borderId="8" xfId="0" applyFill="1" applyBorder="1"/>
    <xf numFmtId="165" fontId="28" fillId="8" borderId="10" xfId="1" applyNumberFormat="1" applyFont="1" applyFill="1" applyBorder="1"/>
    <xf numFmtId="165" fontId="28" fillId="8" borderId="7" xfId="1" applyNumberFormat="1" applyFont="1" applyFill="1" applyBorder="1"/>
    <xf numFmtId="0" fontId="6" fillId="0" borderId="0" xfId="0" applyFont="1" applyAlignment="1">
      <alignment horizontal="right"/>
    </xf>
    <xf numFmtId="0" fontId="0" fillId="0" borderId="0" xfId="0" applyBorder="1" applyAlignment="1">
      <alignment horizontal="right" vertical="center" indent="1"/>
    </xf>
    <xf numFmtId="0" fontId="3" fillId="0" borderId="0" xfId="0" applyFont="1" applyBorder="1" applyAlignment="1">
      <alignment horizontal="left" indent="1"/>
    </xf>
    <xf numFmtId="0" fontId="0" fillId="0" borderId="0" xfId="0" applyBorder="1" applyAlignment="1">
      <alignment horizontal="left" indent="1"/>
    </xf>
    <xf numFmtId="5" fontId="0" fillId="0" borderId="0" xfId="0" applyNumberFormat="1" applyBorder="1" applyAlignment="1">
      <alignment vertical="center" wrapText="1"/>
    </xf>
    <xf numFmtId="37" fontId="0" fillId="0" borderId="0" xfId="0" applyNumberFormat="1" applyBorder="1" applyAlignment="1">
      <alignment vertical="center" wrapText="1"/>
    </xf>
    <xf numFmtId="175" fontId="0" fillId="0" borderId="0" xfId="0" applyNumberFormat="1" applyBorder="1" applyAlignment="1">
      <alignment vertical="center" wrapText="1"/>
    </xf>
    <xf numFmtId="5" fontId="0" fillId="0" borderId="0" xfId="0" applyNumberFormat="1" applyFill="1" applyBorder="1" applyAlignment="1">
      <alignment vertical="center" wrapText="1"/>
    </xf>
    <xf numFmtId="178" fontId="0" fillId="0" borderId="0" xfId="0" applyNumberFormat="1" applyBorder="1" applyAlignment="1">
      <alignment vertical="center" wrapText="1"/>
    </xf>
    <xf numFmtId="174" fontId="0" fillId="0" borderId="0" xfId="0" applyNumberFormat="1"/>
    <xf numFmtId="174" fontId="0" fillId="0" borderId="0" xfId="0" applyNumberFormat="1" applyFill="1"/>
    <xf numFmtId="3" fontId="0" fillId="0" borderId="0" xfId="0" applyNumberFormat="1"/>
    <xf numFmtId="0" fontId="0" fillId="0" borderId="0" xfId="0" applyFill="1" applyBorder="1" applyAlignment="1"/>
    <xf numFmtId="0" fontId="0" fillId="0" borderId="13" xfId="0" applyFill="1" applyBorder="1" applyAlignment="1"/>
    <xf numFmtId="0" fontId="30" fillId="0" borderId="14" xfId="0" applyFont="1" applyFill="1" applyBorder="1" applyAlignment="1">
      <alignment horizontal="center"/>
    </xf>
    <xf numFmtId="0" fontId="30" fillId="0" borderId="14" xfId="0" applyFont="1" applyFill="1" applyBorder="1" applyAlignment="1">
      <alignment horizontal="centerContinuous"/>
    </xf>
    <xf numFmtId="5" fontId="5" fillId="0" borderId="0" xfId="3" applyNumberFormat="1" applyFont="1"/>
    <xf numFmtId="169" fontId="0" fillId="0" borderId="0" xfId="7" applyNumberFormat="1" applyFont="1" applyBorder="1" applyAlignment="1">
      <alignment vertical="center" wrapText="1"/>
    </xf>
    <xf numFmtId="169" fontId="0" fillId="0" borderId="0" xfId="7" applyNumberFormat="1" applyFont="1" applyBorder="1"/>
    <xf numFmtId="0" fontId="3" fillId="0" borderId="0" xfId="0" applyFont="1" applyAlignment="1">
      <alignment horizontal="left" vertical="center" wrapText="1" indent="1"/>
    </xf>
    <xf numFmtId="0" fontId="5" fillId="0" borderId="0" xfId="0" applyFont="1" applyAlignment="1">
      <alignment horizontal="left" indent="1"/>
    </xf>
    <xf numFmtId="9" fontId="18" fillId="0" borderId="0" xfId="3" applyNumberFormat="1" applyFont="1" applyBorder="1"/>
    <xf numFmtId="172" fontId="18" fillId="0" borderId="15" xfId="3" applyNumberFormat="1" applyFont="1" applyBorder="1" applyAlignment="1">
      <alignment horizontal="center"/>
    </xf>
    <xf numFmtId="0" fontId="7" fillId="0" borderId="12" xfId="0" applyFont="1" applyBorder="1" applyAlignment="1">
      <alignment horizontal="center" wrapText="1"/>
    </xf>
    <xf numFmtId="177" fontId="0" fillId="0" borderId="0" xfId="0" applyNumberFormat="1" applyBorder="1" applyAlignment="1">
      <alignment vertical="center" wrapText="1"/>
    </xf>
    <xf numFmtId="9" fontId="0" fillId="0" borderId="0" xfId="7" applyNumberFormat="1" applyFont="1" applyBorder="1" applyAlignment="1">
      <alignment vertical="center" wrapText="1"/>
    </xf>
    <xf numFmtId="43" fontId="6" fillId="0" borderId="0" xfId="0" applyNumberFormat="1" applyFont="1" applyBorder="1"/>
    <xf numFmtId="0" fontId="5" fillId="9" borderId="28" xfId="0" applyFont="1" applyFill="1" applyBorder="1"/>
    <xf numFmtId="0" fontId="0" fillId="9" borderId="29" xfId="0" applyFill="1" applyBorder="1"/>
    <xf numFmtId="0" fontId="5" fillId="9" borderId="30" xfId="0" applyFont="1" applyFill="1" applyBorder="1"/>
    <xf numFmtId="0" fontId="0" fillId="9" borderId="31" xfId="0" applyFill="1" applyBorder="1"/>
    <xf numFmtId="0" fontId="14" fillId="3" borderId="11" xfId="0" applyFont="1" applyFill="1" applyBorder="1" applyAlignment="1">
      <alignment horizontal="right"/>
    </xf>
    <xf numFmtId="172" fontId="7" fillId="0" borderId="0" xfId="0" applyNumberFormat="1" applyFont="1"/>
    <xf numFmtId="14" fontId="5" fillId="0" borderId="0" xfId="0" applyNumberFormat="1" applyFont="1"/>
    <xf numFmtId="14" fontId="7" fillId="0" borderId="0" xfId="0" applyNumberFormat="1" applyFont="1" applyBorder="1"/>
    <xf numFmtId="165" fontId="3" fillId="8" borderId="8" xfId="1" applyNumberFormat="1" applyFont="1" applyFill="1" applyBorder="1" applyAlignment="1">
      <alignment horizontal="right"/>
    </xf>
    <xf numFmtId="43" fontId="0" fillId="8" borderId="9" xfId="0" applyNumberFormat="1" applyFill="1" applyBorder="1"/>
    <xf numFmtId="43" fontId="0" fillId="8" borderId="6" xfId="0" applyNumberFormat="1" applyFill="1" applyBorder="1"/>
    <xf numFmtId="14" fontId="7" fillId="0" borderId="0" xfId="0" applyNumberFormat="1" applyFont="1"/>
    <xf numFmtId="0" fontId="3" fillId="0" borderId="0" xfId="0" applyFont="1" applyBorder="1" applyAlignment="1">
      <alignment vertical="center" wrapText="1"/>
    </xf>
    <xf numFmtId="1" fontId="31" fillId="7" borderId="16" xfId="0" applyNumberFormat="1" applyFont="1" applyFill="1" applyBorder="1" applyAlignment="1">
      <alignment horizontal="center"/>
    </xf>
    <xf numFmtId="0" fontId="6" fillId="7" borderId="0" xfId="0" applyFont="1" applyFill="1" applyBorder="1" applyAlignment="1">
      <alignment horizontal="left"/>
    </xf>
    <xf numFmtId="0" fontId="6" fillId="7" borderId="0" xfId="0" applyFont="1" applyFill="1" applyBorder="1" applyAlignment="1">
      <alignment horizontal="left" vertical="center"/>
    </xf>
    <xf numFmtId="0" fontId="6" fillId="7" borderId="0" xfId="0" applyFont="1" applyFill="1" applyBorder="1" applyAlignment="1"/>
    <xf numFmtId="0" fontId="5" fillId="7" borderId="0" xfId="0" applyFont="1" applyFill="1" applyBorder="1" applyAlignment="1">
      <alignment horizontal="left"/>
    </xf>
    <xf numFmtId="0" fontId="5" fillId="7" borderId="0" xfId="0" applyFont="1" applyFill="1" applyBorder="1"/>
    <xf numFmtId="0" fontId="5" fillId="7" borderId="1" xfId="0" applyFont="1" applyFill="1" applyBorder="1"/>
    <xf numFmtId="0" fontId="5" fillId="7" borderId="0" xfId="0" applyFont="1" applyFill="1" applyBorder="1" applyAlignment="1">
      <alignment horizontal="left" vertical="center"/>
    </xf>
    <xf numFmtId="0" fontId="5" fillId="7" borderId="16" xfId="0" applyFont="1" applyFill="1" applyBorder="1"/>
    <xf numFmtId="0" fontId="6" fillId="7" borderId="0" xfId="0" applyFont="1" applyFill="1" applyBorder="1"/>
    <xf numFmtId="0" fontId="6" fillId="7" borderId="1" xfId="0" applyFont="1" applyFill="1" applyBorder="1"/>
    <xf numFmtId="0" fontId="5" fillId="7" borderId="5" xfId="0" applyFont="1" applyFill="1" applyBorder="1"/>
    <xf numFmtId="0" fontId="6" fillId="7" borderId="7" xfId="0" applyFont="1" applyFill="1" applyBorder="1"/>
    <xf numFmtId="0" fontId="6" fillId="7" borderId="6" xfId="0" applyFont="1" applyFill="1" applyBorder="1"/>
    <xf numFmtId="1" fontId="7" fillId="0" borderId="0" xfId="0" applyNumberFormat="1" applyFont="1" applyAlignment="1">
      <alignment horizontal="right"/>
    </xf>
    <xf numFmtId="0" fontId="0" fillId="7" borderId="0" xfId="0" applyFill="1"/>
    <xf numFmtId="0" fontId="5" fillId="0" borderId="28" xfId="0" applyFont="1" applyFill="1" applyBorder="1" applyAlignment="1">
      <alignment horizontal="right"/>
    </xf>
    <xf numFmtId="0" fontId="5" fillId="0" borderId="30" xfId="0" applyFont="1" applyFill="1" applyBorder="1" applyAlignment="1">
      <alignment horizontal="right"/>
    </xf>
    <xf numFmtId="173" fontId="0" fillId="0" borderId="0" xfId="3" applyNumberFormat="1" applyFont="1" applyAlignment="1">
      <alignment horizontal="right"/>
    </xf>
    <xf numFmtId="179" fontId="5" fillId="0" borderId="0" xfId="3" applyNumberFormat="1" applyFont="1"/>
    <xf numFmtId="5" fontId="5" fillId="0" borderId="0" xfId="0" applyNumberFormat="1" applyFont="1"/>
    <xf numFmtId="5" fontId="0" fillId="0" borderId="0" xfId="0" applyNumberFormat="1"/>
    <xf numFmtId="43" fontId="29" fillId="8" borderId="11" xfId="1" applyNumberFormat="1" applyFont="1" applyFill="1" applyBorder="1"/>
    <xf numFmtId="0" fontId="0" fillId="8" borderId="11" xfId="0" applyFill="1" applyBorder="1"/>
    <xf numFmtId="0" fontId="5" fillId="0" borderId="0" xfId="6" applyFont="1" applyAlignment="1">
      <alignment horizontal="right"/>
    </xf>
    <xf numFmtId="15" fontId="0" fillId="0" borderId="0" xfId="0" applyNumberFormat="1" applyAlignment="1">
      <alignment vertical="center" wrapText="1"/>
    </xf>
    <xf numFmtId="0" fontId="0" fillId="0" borderId="16" xfId="0" applyBorder="1"/>
    <xf numFmtId="0" fontId="0" fillId="0" borderId="0" xfId="0" applyAlignment="1">
      <alignment vertical="center"/>
    </xf>
    <xf numFmtId="2" fontId="3" fillId="0" borderId="0" xfId="0" applyNumberFormat="1" applyFont="1"/>
    <xf numFmtId="169" fontId="3" fillId="0" borderId="0" xfId="7" applyNumberFormat="1" applyFont="1"/>
    <xf numFmtId="0" fontId="3" fillId="0" borderId="0" xfId="0" applyFont="1" applyAlignment="1">
      <alignment vertical="center"/>
    </xf>
    <xf numFmtId="0" fontId="3" fillId="0" borderId="1" xfId="0" applyFont="1" applyBorder="1" applyAlignment="1">
      <alignment horizontal="right" vertical="center" wrapText="1" indent="1"/>
    </xf>
    <xf numFmtId="0" fontId="0" fillId="0" borderId="1" xfId="0" applyBorder="1" applyAlignment="1">
      <alignment horizontal="right" vertical="center" wrapText="1" indent="1"/>
    </xf>
    <xf numFmtId="172" fontId="18" fillId="0" borderId="0" xfId="3" applyNumberFormat="1" applyFont="1" applyBorder="1" applyAlignment="1">
      <alignment horizontal="right" indent="1"/>
    </xf>
    <xf numFmtId="172" fontId="18" fillId="0" borderId="0" xfId="3" applyNumberFormat="1" applyFont="1" applyBorder="1" applyAlignment="1">
      <alignment horizontal="center"/>
    </xf>
    <xf numFmtId="0" fontId="3" fillId="0" borderId="0" xfId="0" applyFont="1" applyAlignment="1">
      <alignment horizontal="left" vertical="center" indent="1"/>
    </xf>
    <xf numFmtId="0" fontId="14" fillId="5" borderId="10" xfId="0" applyFont="1" applyFill="1" applyBorder="1" applyAlignment="1">
      <alignment horizontal="right"/>
    </xf>
    <xf numFmtId="0" fontId="14" fillId="0" borderId="1" xfId="0" applyFont="1" applyBorder="1" applyAlignment="1">
      <alignment horizontal="right"/>
    </xf>
    <xf numFmtId="44" fontId="19" fillId="0" borderId="1" xfId="3" applyFont="1" applyBorder="1"/>
    <xf numFmtId="0" fontId="7" fillId="0" borderId="1" xfId="0" applyFont="1" applyBorder="1"/>
    <xf numFmtId="2" fontId="0" fillId="0" borderId="1" xfId="0" applyNumberFormat="1" applyBorder="1"/>
    <xf numFmtId="165" fontId="0" fillId="0" borderId="1" xfId="1" applyNumberFormat="1" applyFont="1" applyBorder="1"/>
    <xf numFmtId="166" fontId="0" fillId="0" borderId="1" xfId="0" applyNumberFormat="1" applyBorder="1"/>
    <xf numFmtId="165" fontId="6" fillId="0" borderId="1" xfId="1" applyNumberFormat="1" applyFont="1" applyBorder="1"/>
    <xf numFmtId="0" fontId="6" fillId="0" borderId="1" xfId="0" applyFont="1" applyBorder="1" applyAlignment="1">
      <alignment horizontal="right"/>
    </xf>
    <xf numFmtId="0" fontId="0" fillId="0" borderId="8" xfId="0" applyBorder="1"/>
    <xf numFmtId="169" fontId="0" fillId="0" borderId="8" xfId="0" applyNumberFormat="1" applyBorder="1"/>
    <xf numFmtId="0" fontId="3" fillId="0" borderId="8" xfId="0" applyFont="1" applyBorder="1" applyAlignment="1">
      <alignment horizontal="right"/>
    </xf>
    <xf numFmtId="43" fontId="0" fillId="0" borderId="1" xfId="0" applyNumberFormat="1" applyBorder="1"/>
    <xf numFmtId="43" fontId="3" fillId="0" borderId="0" xfId="1" applyNumberFormat="1" applyFont="1" applyAlignment="1">
      <alignment horizontal="right"/>
    </xf>
    <xf numFmtId="0" fontId="0" fillId="0" borderId="0" xfId="0" applyFill="1" applyBorder="1" applyAlignment="1">
      <alignment horizontal="center" vertical="center"/>
    </xf>
    <xf numFmtId="44" fontId="16" fillId="0" borderId="11" xfId="3" applyFont="1" applyBorder="1"/>
    <xf numFmtId="169" fontId="21" fillId="0" borderId="10" xfId="0" applyNumberFormat="1" applyFont="1" applyBorder="1"/>
    <xf numFmtId="168" fontId="0" fillId="10" borderId="0" xfId="0" applyNumberFormat="1" applyFill="1"/>
    <xf numFmtId="166" fontId="7" fillId="0" borderId="17" xfId="7" applyNumberFormat="1" applyFont="1" applyFill="1" applyBorder="1" applyAlignment="1">
      <alignment horizontal="center"/>
    </xf>
    <xf numFmtId="0" fontId="5" fillId="11" borderId="11" xfId="0" applyFont="1" applyFill="1" applyBorder="1"/>
    <xf numFmtId="0" fontId="0" fillId="11" borderId="10" xfId="0" applyFill="1" applyBorder="1"/>
    <xf numFmtId="0" fontId="5" fillId="11" borderId="11" xfId="0" applyFont="1" applyFill="1" applyBorder="1" applyAlignment="1">
      <alignment horizontal="left" indent="2"/>
    </xf>
    <xf numFmtId="0" fontId="0" fillId="11" borderId="9" xfId="0" applyFill="1" applyBorder="1"/>
    <xf numFmtId="0" fontId="3" fillId="11" borderId="9" xfId="0" applyFont="1" applyFill="1" applyBorder="1" applyAlignment="1">
      <alignment horizontal="left" indent="1"/>
    </xf>
    <xf numFmtId="2" fontId="3" fillId="11" borderId="9" xfId="0" applyNumberFormat="1" applyFont="1" applyFill="1" applyBorder="1"/>
    <xf numFmtId="10" fontId="3" fillId="11" borderId="9" xfId="7" applyNumberFormat="1" applyFont="1" applyFill="1" applyBorder="1" applyAlignment="1">
      <alignment horizontal="left" indent="1"/>
    </xf>
    <xf numFmtId="0" fontId="3" fillId="11" borderId="9" xfId="0" applyFont="1" applyFill="1" applyBorder="1"/>
    <xf numFmtId="171" fontId="0" fillId="11" borderId="8" xfId="0" applyNumberFormat="1" applyFill="1" applyBorder="1"/>
    <xf numFmtId="180" fontId="0" fillId="11" borderId="6" xfId="0" applyNumberFormat="1" applyFill="1" applyBorder="1" applyAlignment="1">
      <alignment horizontal="center"/>
    </xf>
    <xf numFmtId="166" fontId="7" fillId="0" borderId="8" xfId="7" applyNumberFormat="1" applyFont="1" applyFill="1" applyBorder="1" applyAlignment="1">
      <alignment horizontal="center"/>
    </xf>
    <xf numFmtId="3" fontId="6" fillId="0" borderId="0" xfId="0" applyNumberFormat="1" applyFont="1" applyAlignment="1">
      <alignment wrapText="1"/>
    </xf>
    <xf numFmtId="0" fontId="5" fillId="0" borderId="0" xfId="0" applyFont="1" applyAlignment="1">
      <alignment horizontal="center"/>
    </xf>
    <xf numFmtId="4" fontId="6" fillId="0" borderId="0" xfId="0" applyNumberFormat="1" applyFont="1" applyAlignment="1">
      <alignment wrapText="1"/>
    </xf>
    <xf numFmtId="182" fontId="6" fillId="0" borderId="0" xfId="0" applyNumberFormat="1" applyFont="1" applyAlignment="1">
      <alignment wrapText="1"/>
    </xf>
    <xf numFmtId="0" fontId="3" fillId="0" borderId="0" xfId="0" applyFont="1" applyAlignment="1">
      <alignment horizontal="right" vertical="center"/>
    </xf>
    <xf numFmtId="3" fontId="6" fillId="12" borderId="12" xfId="0" applyNumberFormat="1" applyFont="1" applyFill="1" applyBorder="1" applyAlignment="1">
      <alignment wrapText="1"/>
    </xf>
    <xf numFmtId="166" fontId="6" fillId="12" borderId="18" xfId="0" applyNumberFormat="1" applyFont="1" applyFill="1" applyBorder="1" applyAlignment="1">
      <alignment wrapText="1"/>
    </xf>
    <xf numFmtId="0" fontId="0" fillId="0" borderId="0" xfId="0" applyNumberFormat="1"/>
    <xf numFmtId="0" fontId="8" fillId="0" borderId="0" xfId="0" applyFont="1" applyAlignment="1">
      <alignment horizontal="left" indent="1"/>
    </xf>
    <xf numFmtId="168" fontId="0" fillId="13" borderId="0" xfId="0" applyNumberFormat="1" applyFill="1"/>
    <xf numFmtId="172" fontId="7" fillId="0" borderId="0" xfId="0" applyNumberFormat="1" applyFont="1" applyBorder="1"/>
    <xf numFmtId="7" fontId="0" fillId="0" borderId="0" xfId="0" applyNumberFormat="1" applyBorder="1"/>
    <xf numFmtId="9" fontId="18" fillId="0" borderId="0" xfId="0" applyNumberFormat="1" applyFont="1"/>
    <xf numFmtId="7" fontId="18" fillId="0" borderId="8" xfId="3" applyNumberFormat="1" applyFont="1" applyBorder="1" applyAlignment="1">
      <alignment horizontal="center"/>
    </xf>
    <xf numFmtId="172" fontId="18" fillId="0" borderId="8" xfId="3" applyNumberFormat="1" applyFont="1" applyBorder="1" applyAlignment="1">
      <alignment horizontal="center"/>
    </xf>
    <xf numFmtId="0" fontId="7" fillId="0" borderId="10" xfId="0" applyFont="1" applyBorder="1" applyAlignment="1">
      <alignment horizontal="right"/>
    </xf>
    <xf numFmtId="0" fontId="36" fillId="0" borderId="0" xfId="5" applyFont="1" applyAlignment="1" applyProtection="1">
      <alignment horizontal="center"/>
    </xf>
    <xf numFmtId="0" fontId="0" fillId="0" borderId="0" xfId="0" applyBorder="1" applyAlignment="1">
      <alignment horizontal="right" vertical="center" wrapText="1" indent="1"/>
    </xf>
    <xf numFmtId="182" fontId="0" fillId="0" borderId="0" xfId="0" applyNumberFormat="1"/>
    <xf numFmtId="182" fontId="0" fillId="0" borderId="0" xfId="0" applyNumberFormat="1" applyBorder="1"/>
    <xf numFmtId="182" fontId="15" fillId="0" borderId="0" xfId="0" applyNumberFormat="1" applyFont="1" applyBorder="1" applyAlignment="1">
      <alignment horizontal="center"/>
    </xf>
    <xf numFmtId="168" fontId="15" fillId="0" borderId="0" xfId="0" applyNumberFormat="1" applyFont="1" applyBorder="1" applyAlignment="1">
      <alignment horizontal="left" indent="1"/>
    </xf>
    <xf numFmtId="0" fontId="14" fillId="0" borderId="16" xfId="0" applyFont="1" applyBorder="1" applyAlignment="1">
      <alignment horizontal="right"/>
    </xf>
    <xf numFmtId="182" fontId="0" fillId="0" borderId="16" xfId="0" applyNumberFormat="1" applyBorder="1"/>
    <xf numFmtId="43" fontId="0" fillId="0" borderId="16" xfId="0" applyNumberFormat="1" applyBorder="1"/>
    <xf numFmtId="0" fontId="14" fillId="0" borderId="16" xfId="0" applyFont="1" applyFill="1" applyBorder="1" applyAlignment="1">
      <alignment horizontal="right"/>
    </xf>
    <xf numFmtId="9" fontId="3" fillId="0" borderId="16" xfId="0" applyNumberFormat="1" applyFont="1" applyBorder="1" applyAlignment="1">
      <alignment horizontal="left" vertical="center" indent="1"/>
    </xf>
    <xf numFmtId="9" fontId="21" fillId="0" borderId="16" xfId="0" applyNumberFormat="1" applyFont="1" applyBorder="1" applyAlignment="1">
      <alignment horizontal="left" vertical="center" wrapText="1" indent="1"/>
    </xf>
    <xf numFmtId="165" fontId="0" fillId="0" borderId="16" xfId="1" applyNumberFormat="1" applyFont="1" applyBorder="1"/>
    <xf numFmtId="167" fontId="5" fillId="0" borderId="16" xfId="0" applyNumberFormat="1" applyFont="1" applyBorder="1"/>
    <xf numFmtId="0" fontId="7" fillId="0" borderId="16" xfId="0" applyFont="1" applyBorder="1"/>
    <xf numFmtId="165" fontId="5" fillId="0" borderId="16" xfId="0" applyNumberFormat="1" applyFont="1" applyBorder="1"/>
    <xf numFmtId="179" fontId="5" fillId="0" borderId="16" xfId="3" applyNumberFormat="1" applyFont="1" applyBorder="1"/>
    <xf numFmtId="169" fontId="0" fillId="0" borderId="16" xfId="7" applyNumberFormat="1" applyFont="1" applyBorder="1"/>
    <xf numFmtId="169" fontId="0" fillId="0" borderId="16" xfId="0" applyNumberFormat="1" applyBorder="1"/>
    <xf numFmtId="182" fontId="15" fillId="0" borderId="8" xfId="0" applyNumberFormat="1" applyFont="1" applyBorder="1" applyAlignment="1">
      <alignment horizontal="center"/>
    </xf>
    <xf numFmtId="10" fontId="6" fillId="0" borderId="0" xfId="0" applyNumberFormat="1" applyFont="1" applyBorder="1"/>
    <xf numFmtId="169" fontId="16" fillId="0" borderId="8" xfId="0" applyNumberFormat="1" applyFont="1" applyBorder="1" applyAlignment="1">
      <alignment horizontal="center"/>
    </xf>
    <xf numFmtId="169" fontId="5" fillId="0" borderId="16" xfId="0" applyNumberFormat="1" applyFont="1" applyBorder="1"/>
    <xf numFmtId="169" fontId="5" fillId="0" borderId="0" xfId="0" applyNumberFormat="1" applyFont="1" applyBorder="1"/>
    <xf numFmtId="179" fontId="5" fillId="0" borderId="0" xfId="3" applyNumberFormat="1" applyFont="1" applyBorder="1"/>
    <xf numFmtId="9" fontId="16" fillId="0" borderId="8" xfId="0" applyNumberFormat="1" applyFont="1" applyBorder="1" applyAlignment="1">
      <alignment horizontal="center"/>
    </xf>
    <xf numFmtId="0" fontId="59" fillId="0" borderId="0" xfId="0" applyFont="1"/>
    <xf numFmtId="0" fontId="59" fillId="0" borderId="0" xfId="0" applyFont="1" applyBorder="1"/>
    <xf numFmtId="0" fontId="59" fillId="0" borderId="16" xfId="0" applyFont="1" applyBorder="1"/>
    <xf numFmtId="2" fontId="59" fillId="0" borderId="0" xfId="0" applyNumberFormat="1" applyFont="1"/>
    <xf numFmtId="0" fontId="5" fillId="0" borderId="19" xfId="0" applyFont="1" applyBorder="1"/>
    <xf numFmtId="0" fontId="0" fillId="0" borderId="20" xfId="0" applyBorder="1"/>
    <xf numFmtId="0" fontId="0" fillId="0" borderId="21" xfId="0" applyBorder="1"/>
    <xf numFmtId="0" fontId="6" fillId="0" borderId="22" xfId="0" applyFont="1" applyBorder="1"/>
    <xf numFmtId="7" fontId="7" fillId="0" borderId="23" xfId="0" applyNumberFormat="1" applyFont="1" applyBorder="1" applyAlignment="1">
      <alignment horizontal="right"/>
    </xf>
    <xf numFmtId="0" fontId="7" fillId="0" borderId="23" xfId="0" applyFont="1" applyBorder="1" applyAlignment="1">
      <alignment horizontal="right"/>
    </xf>
    <xf numFmtId="0" fontId="6" fillId="0" borderId="24" xfId="0" applyFont="1" applyBorder="1"/>
    <xf numFmtId="0" fontId="0" fillId="0" borderId="13" xfId="0" applyBorder="1"/>
    <xf numFmtId="0" fontId="7" fillId="0" borderId="25" xfId="0" applyFont="1" applyBorder="1" applyAlignment="1">
      <alignment horizontal="right"/>
    </xf>
    <xf numFmtId="182" fontId="6" fillId="0" borderId="0" xfId="0" applyNumberFormat="1" applyFont="1" applyBorder="1"/>
    <xf numFmtId="9" fontId="3" fillId="0" borderId="0" xfId="0" applyNumberFormat="1" applyFont="1" applyBorder="1" applyAlignment="1">
      <alignment horizontal="left" indent="1"/>
    </xf>
    <xf numFmtId="2" fontId="0" fillId="7" borderId="16" xfId="0" applyNumberFormat="1" applyFill="1" applyBorder="1"/>
    <xf numFmtId="2" fontId="0" fillId="7" borderId="0" xfId="0" applyNumberFormat="1" applyFill="1" applyBorder="1"/>
    <xf numFmtId="0" fontId="0" fillId="0" borderId="1" xfId="0" applyBorder="1" applyAlignment="1">
      <alignment horizontal="left" vertical="center" wrapText="1" indent="1"/>
    </xf>
    <xf numFmtId="2" fontId="0" fillId="0" borderId="16" xfId="0" applyNumberFormat="1" applyFill="1" applyBorder="1"/>
    <xf numFmtId="2" fontId="0" fillId="0" borderId="0" xfId="0" applyNumberFormat="1" applyFill="1" applyBorder="1"/>
    <xf numFmtId="0" fontId="59" fillId="0" borderId="1" xfId="0" applyFont="1" applyBorder="1"/>
    <xf numFmtId="0" fontId="6" fillId="0" borderId="1" xfId="0" applyFont="1" applyBorder="1" applyAlignment="1">
      <alignment horizontal="left" vertical="center" wrapText="1" indent="1"/>
    </xf>
    <xf numFmtId="182" fontId="0" fillId="0" borderId="1" xfId="0" applyNumberFormat="1" applyBorder="1"/>
    <xf numFmtId="182" fontId="6" fillId="0" borderId="1" xfId="0" applyNumberFormat="1" applyFont="1" applyBorder="1"/>
    <xf numFmtId="167" fontId="5" fillId="0" borderId="1" xfId="0" applyNumberFormat="1" applyFont="1" applyBorder="1"/>
    <xf numFmtId="0" fontId="5" fillId="0" borderId="32" xfId="0" applyFont="1" applyBorder="1" applyAlignment="1">
      <alignment wrapText="1"/>
    </xf>
    <xf numFmtId="0" fontId="6" fillId="0" borderId="32" xfId="0" applyFont="1" applyBorder="1" applyAlignment="1">
      <alignment horizontal="center" wrapText="1"/>
    </xf>
    <xf numFmtId="3" fontId="6" fillId="0" borderId="32" xfId="0" applyNumberFormat="1" applyFont="1" applyBorder="1" applyAlignment="1">
      <alignment horizontal="center" wrapText="1"/>
    </xf>
    <xf numFmtId="3" fontId="5" fillId="0" borderId="32" xfId="0" applyNumberFormat="1" applyFont="1" applyBorder="1" applyAlignment="1">
      <alignment horizontal="center" wrapText="1"/>
    </xf>
    <xf numFmtId="0" fontId="3" fillId="0" borderId="32" xfId="0" applyFont="1" applyBorder="1" applyAlignment="1">
      <alignment horizontal="left"/>
    </xf>
    <xf numFmtId="0" fontId="3" fillId="0" borderId="32" xfId="0" applyFont="1" applyBorder="1" applyAlignment="1">
      <alignment horizontal="right"/>
    </xf>
    <xf numFmtId="0" fontId="6" fillId="0" borderId="32" xfId="0" applyFont="1" applyBorder="1" applyAlignment="1">
      <alignment horizontal="right" wrapText="1"/>
    </xf>
    <xf numFmtId="3" fontId="6" fillId="0" borderId="32" xfId="0" applyNumberFormat="1" applyFont="1" applyBorder="1" applyAlignment="1">
      <alignment horizontal="right" wrapText="1"/>
    </xf>
    <xf numFmtId="3" fontId="5" fillId="0" borderId="32" xfId="0" applyNumberFormat="1" applyFont="1" applyBorder="1" applyAlignment="1">
      <alignment horizontal="right" wrapText="1"/>
    </xf>
    <xf numFmtId="0" fontId="5" fillId="0" borderId="32" xfId="0" applyFont="1" applyBorder="1" applyAlignment="1">
      <alignment horizontal="right" wrapText="1"/>
    </xf>
    <xf numFmtId="0" fontId="7" fillId="12" borderId="0" xfId="0" applyFont="1" applyFill="1" applyAlignment="1">
      <alignment horizontal="center"/>
    </xf>
    <xf numFmtId="168" fontId="0" fillId="12" borderId="0" xfId="0" applyNumberFormat="1" applyFill="1"/>
    <xf numFmtId="0" fontId="0" fillId="12" borderId="0" xfId="0" applyFill="1"/>
    <xf numFmtId="2" fontId="3" fillId="12" borderId="0" xfId="0" applyNumberFormat="1" applyFont="1" applyFill="1"/>
    <xf numFmtId="169" fontId="3" fillId="12" borderId="0" xfId="7" applyNumberFormat="1" applyFont="1" applyFill="1"/>
    <xf numFmtId="0" fontId="7" fillId="0" borderId="0" xfId="0" applyFont="1" applyAlignment="1">
      <alignment horizontal="left" indent="1"/>
    </xf>
    <xf numFmtId="167" fontId="0" fillId="0" borderId="0" xfId="0" applyNumberFormat="1" applyBorder="1"/>
    <xf numFmtId="0" fontId="6" fillId="0" borderId="8" xfId="0" applyFont="1" applyBorder="1" applyAlignment="1">
      <alignment horizontal="center"/>
    </xf>
    <xf numFmtId="0" fontId="0" fillId="0" borderId="0" xfId="0" applyBorder="1" applyAlignment="1">
      <alignment horizontal="center"/>
    </xf>
    <xf numFmtId="0" fontId="6" fillId="0" borderId="0" xfId="0" applyFont="1" applyBorder="1" applyAlignment="1">
      <alignment horizontal="center"/>
    </xf>
    <xf numFmtId="0" fontId="5" fillId="7" borderId="11" xfId="0" applyFont="1" applyFill="1" applyBorder="1"/>
    <xf numFmtId="0" fontId="0" fillId="7" borderId="9" xfId="0" applyFill="1" applyBorder="1"/>
    <xf numFmtId="0" fontId="5" fillId="7" borderId="10" xfId="0" applyFont="1" applyFill="1" applyBorder="1"/>
    <xf numFmtId="0" fontId="39" fillId="0" borderId="0" xfId="0" applyFont="1" applyAlignment="1"/>
    <xf numFmtId="165" fontId="3" fillId="0" borderId="0" xfId="1" applyNumberFormat="1" applyFont="1"/>
    <xf numFmtId="168" fontId="0" fillId="14" borderId="12" xfId="0" applyNumberFormat="1" applyFill="1" applyBorder="1"/>
    <xf numFmtId="168" fontId="0" fillId="14" borderId="15" xfId="0" applyNumberFormat="1" applyFill="1" applyBorder="1"/>
    <xf numFmtId="165" fontId="40" fillId="12" borderId="0" xfId="1" applyNumberFormat="1" applyFont="1" applyFill="1"/>
    <xf numFmtId="165" fontId="5" fillId="12" borderId="0" xfId="1" applyNumberFormat="1" applyFont="1" applyFill="1"/>
    <xf numFmtId="165" fontId="5" fillId="15" borderId="2" xfId="1" applyNumberFormat="1" applyFont="1" applyFill="1" applyBorder="1"/>
    <xf numFmtId="165" fontId="5" fillId="16" borderId="4" xfId="1" applyNumberFormat="1" applyFont="1" applyFill="1" applyBorder="1"/>
    <xf numFmtId="165" fontId="6" fillId="17" borderId="5" xfId="1" applyNumberFormat="1" applyFont="1" applyFill="1" applyBorder="1"/>
    <xf numFmtId="165" fontId="6" fillId="17" borderId="6" xfId="1" applyNumberFormat="1" applyFont="1" applyFill="1" applyBorder="1"/>
    <xf numFmtId="165" fontId="6" fillId="17" borderId="7" xfId="1" applyNumberFormat="1" applyFont="1" applyFill="1" applyBorder="1"/>
    <xf numFmtId="165" fontId="6" fillId="0" borderId="0" xfId="1" applyNumberFormat="1" applyFont="1" applyAlignment="1">
      <alignment horizontal="right"/>
    </xf>
    <xf numFmtId="165" fontId="5" fillId="12" borderId="3" xfId="1" applyNumberFormat="1" applyFont="1" applyFill="1" applyBorder="1"/>
    <xf numFmtId="165" fontId="5" fillId="15" borderId="3" xfId="1" applyNumberFormat="1" applyFont="1" applyFill="1" applyBorder="1"/>
    <xf numFmtId="165" fontId="5" fillId="15" borderId="4" xfId="1" applyNumberFormat="1" applyFont="1" applyFill="1" applyBorder="1"/>
    <xf numFmtId="0" fontId="7" fillId="0" borderId="0" xfId="0" applyFont="1" applyAlignment="1">
      <alignment horizontal="right" indent="1"/>
    </xf>
    <xf numFmtId="8" fontId="0" fillId="0" borderId="0" xfId="0" applyNumberFormat="1" applyFill="1" applyBorder="1"/>
    <xf numFmtId="165" fontId="0" fillId="0" borderId="0" xfId="1" applyNumberFormat="1" applyFont="1" applyFill="1" applyBorder="1" applyAlignment="1">
      <alignment horizontal="center"/>
    </xf>
    <xf numFmtId="8" fontId="5" fillId="0" borderId="0" xfId="0" applyNumberFormat="1" applyFont="1" applyFill="1" applyBorder="1" applyAlignment="1">
      <alignment horizontal="center"/>
    </xf>
    <xf numFmtId="8" fontId="0" fillId="0" borderId="0" xfId="0" applyNumberFormat="1" applyBorder="1"/>
    <xf numFmtId="168" fontId="15" fillId="0" borderId="0" xfId="0" applyNumberFormat="1" applyFont="1" applyBorder="1"/>
    <xf numFmtId="168" fontId="15" fillId="0" borderId="0" xfId="0" applyNumberFormat="1" applyFont="1" applyBorder="1" applyAlignment="1">
      <alignment horizontal="center"/>
    </xf>
    <xf numFmtId="0" fontId="5" fillId="0" borderId="33" xfId="0" applyFont="1" applyBorder="1" applyAlignment="1">
      <alignment horizontal="center" wrapText="1"/>
    </xf>
    <xf numFmtId="3" fontId="6" fillId="0" borderId="34" xfId="0" applyNumberFormat="1" applyFont="1" applyBorder="1" applyAlignment="1">
      <alignment horizontal="center" wrapText="1"/>
    </xf>
    <xf numFmtId="0" fontId="6" fillId="0" borderId="33" xfId="0" applyFont="1" applyBorder="1" applyAlignment="1">
      <alignment horizontal="right" wrapText="1"/>
    </xf>
    <xf numFmtId="3" fontId="5" fillId="0" borderId="34" xfId="0" applyNumberFormat="1" applyFont="1" applyBorder="1" applyAlignment="1">
      <alignment horizontal="center" wrapText="1"/>
    </xf>
    <xf numFmtId="9" fontId="0" fillId="0" borderId="8" xfId="7" applyFont="1" applyBorder="1" applyAlignment="1">
      <alignment horizontal="center"/>
    </xf>
    <xf numFmtId="43" fontId="0" fillId="0" borderId="0" xfId="1" applyNumberFormat="1" applyFont="1" applyBorder="1"/>
    <xf numFmtId="182" fontId="6" fillId="16" borderId="8" xfId="0" applyNumberFormat="1" applyFont="1" applyFill="1" applyBorder="1" applyAlignment="1">
      <alignment wrapText="1"/>
    </xf>
    <xf numFmtId="181" fontId="6" fillId="16" borderId="8" xfId="0" applyNumberFormat="1" applyFont="1" applyFill="1" applyBorder="1" applyAlignment="1">
      <alignment wrapText="1"/>
    </xf>
    <xf numFmtId="169" fontId="5" fillId="0" borderId="0" xfId="0" applyNumberFormat="1" applyFont="1"/>
    <xf numFmtId="169" fontId="5" fillId="0" borderId="16" xfId="7" applyNumberFormat="1" applyFont="1" applyBorder="1"/>
    <xf numFmtId="169" fontId="6" fillId="0" borderId="0" xfId="0" applyNumberFormat="1" applyFont="1"/>
    <xf numFmtId="169" fontId="6" fillId="0" borderId="0" xfId="7" applyNumberFormat="1" applyFont="1"/>
    <xf numFmtId="0" fontId="7" fillId="0" borderId="1" xfId="0" applyFont="1" applyBorder="1" applyAlignment="1">
      <alignment horizontal="right"/>
    </xf>
    <xf numFmtId="167" fontId="0" fillId="0" borderId="1" xfId="0" applyNumberFormat="1" applyBorder="1"/>
    <xf numFmtId="8" fontId="0" fillId="0" borderId="1" xfId="0" applyNumberFormat="1" applyBorder="1"/>
    <xf numFmtId="0" fontId="3" fillId="0" borderId="1" xfId="0" applyFont="1" applyBorder="1" applyAlignment="1">
      <alignment horizontal="right" indent="1"/>
    </xf>
    <xf numFmtId="0" fontId="0" fillId="0" borderId="1" xfId="0" applyBorder="1" applyAlignment="1">
      <alignment horizontal="right" vertical="center" indent="1"/>
    </xf>
    <xf numFmtId="0" fontId="0" fillId="0" borderId="1" xfId="0" applyBorder="1" applyAlignment="1">
      <alignment wrapText="1"/>
    </xf>
    <xf numFmtId="0" fontId="7" fillId="0" borderId="4" xfId="0" applyFont="1" applyBorder="1" applyAlignment="1">
      <alignment horizontal="right"/>
    </xf>
    <xf numFmtId="0" fontId="3" fillId="0" borderId="1" xfId="0" applyFont="1" applyBorder="1" applyAlignment="1">
      <alignment horizontal="left" vertical="center" indent="1"/>
    </xf>
    <xf numFmtId="0" fontId="0" fillId="0" borderId="1" xfId="0" applyBorder="1" applyAlignment="1">
      <alignment horizontal="left" vertical="center" indent="1"/>
    </xf>
    <xf numFmtId="0" fontId="0" fillId="0" borderId="0" xfId="0" applyBorder="1" applyAlignment="1">
      <alignment horizontal="left" vertical="center" indent="1"/>
    </xf>
    <xf numFmtId="9" fontId="16" fillId="0" borderId="0" xfId="0" applyNumberFormat="1" applyFont="1" applyBorder="1"/>
    <xf numFmtId="7" fontId="16" fillId="0" borderId="0" xfId="3" applyNumberFormat="1" applyFont="1" applyBorder="1"/>
    <xf numFmtId="169" fontId="22" fillId="0" borderId="0" xfId="0" applyNumberFormat="1" applyFont="1" applyBorder="1"/>
    <xf numFmtId="164" fontId="1" fillId="0" borderId="0" xfId="3" applyNumberFormat="1" applyBorder="1"/>
    <xf numFmtId="0" fontId="0" fillId="0" borderId="0" xfId="0" quotePrefix="1" applyBorder="1"/>
    <xf numFmtId="0" fontId="6" fillId="0" borderId="0" xfId="0" applyFont="1" applyBorder="1"/>
    <xf numFmtId="167" fontId="6" fillId="0" borderId="0" xfId="1" applyNumberFormat="1" applyFont="1" applyBorder="1"/>
    <xf numFmtId="0" fontId="0" fillId="0" borderId="4" xfId="0" applyBorder="1"/>
    <xf numFmtId="169" fontId="18" fillId="0" borderId="8" xfId="7" applyNumberFormat="1" applyFont="1" applyBorder="1" applyAlignment="1">
      <alignment horizontal="center" wrapText="1"/>
    </xf>
    <xf numFmtId="0" fontId="14" fillId="3" borderId="10" xfId="0" applyFont="1" applyFill="1" applyBorder="1" applyAlignment="1">
      <alignment horizontal="right"/>
    </xf>
    <xf numFmtId="0" fontId="0" fillId="9" borderId="0" xfId="0" applyFill="1" applyBorder="1"/>
    <xf numFmtId="169" fontId="5" fillId="0" borderId="0" xfId="7" applyNumberFormat="1" applyFont="1" applyBorder="1"/>
    <xf numFmtId="9" fontId="6" fillId="0" borderId="8" xfId="0" applyNumberFormat="1" applyFont="1" applyBorder="1"/>
    <xf numFmtId="9" fontId="5" fillId="0" borderId="8" xfId="0" applyNumberFormat="1" applyFont="1" applyBorder="1"/>
    <xf numFmtId="165" fontId="0" fillId="0" borderId="0" xfId="1" applyNumberFormat="1" applyFont="1" applyAlignment="1">
      <alignment horizontal="right"/>
    </xf>
    <xf numFmtId="172" fontId="14" fillId="5" borderId="8" xfId="0" applyNumberFormat="1" applyFont="1" applyFill="1" applyBorder="1" applyAlignment="1">
      <alignment horizontal="right"/>
    </xf>
    <xf numFmtId="167" fontId="7" fillId="18" borderId="2" xfId="0" applyNumberFormat="1" applyFont="1" applyFill="1" applyBorder="1" applyAlignment="1">
      <alignment horizontal="center"/>
    </xf>
    <xf numFmtId="167" fontId="7" fillId="18" borderId="3" xfId="0" applyNumberFormat="1" applyFont="1" applyFill="1" applyBorder="1" applyAlignment="1">
      <alignment horizontal="center"/>
    </xf>
    <xf numFmtId="167" fontId="7" fillId="18" borderId="4" xfId="0" applyNumberFormat="1" applyFont="1" applyFill="1" applyBorder="1" applyAlignment="1">
      <alignment horizontal="center"/>
    </xf>
    <xf numFmtId="167" fontId="7" fillId="18" borderId="16" xfId="0" applyNumberFormat="1" applyFont="1" applyFill="1" applyBorder="1" applyAlignment="1">
      <alignment horizontal="center"/>
    </xf>
    <xf numFmtId="167" fontId="7" fillId="18" borderId="0" xfId="0" applyNumberFormat="1" applyFont="1" applyFill="1" applyBorder="1" applyAlignment="1">
      <alignment horizontal="center"/>
    </xf>
    <xf numFmtId="167" fontId="7" fillId="18" borderId="1" xfId="0" applyNumberFormat="1" applyFont="1" applyFill="1" applyBorder="1" applyAlignment="1">
      <alignment horizontal="center"/>
    </xf>
    <xf numFmtId="7" fontId="6" fillId="18" borderId="0" xfId="0" applyNumberFormat="1" applyFont="1" applyFill="1" applyBorder="1"/>
    <xf numFmtId="0" fontId="5" fillId="0" borderId="0" xfId="0" applyFont="1" applyAlignment="1">
      <alignment horizontal="left" vertical="center" wrapText="1" indent="1"/>
    </xf>
    <xf numFmtId="14" fontId="7" fillId="0" borderId="1" xfId="0" applyNumberFormat="1" applyFont="1" applyBorder="1"/>
    <xf numFmtId="7" fontId="19" fillId="0" borderId="0" xfId="3" applyNumberFormat="1" applyFont="1"/>
    <xf numFmtId="7" fontId="19" fillId="0" borderId="1" xfId="3" applyNumberFormat="1" applyFont="1" applyBorder="1"/>
    <xf numFmtId="169" fontId="0" fillId="0" borderId="0" xfId="0" applyNumberFormat="1" applyBorder="1"/>
    <xf numFmtId="0" fontId="3" fillId="0" borderId="0" xfId="0" applyFont="1" applyBorder="1" applyAlignment="1">
      <alignment horizontal="right"/>
    </xf>
    <xf numFmtId="10" fontId="5" fillId="0" borderId="16" xfId="0" applyNumberFormat="1" applyFont="1" applyBorder="1"/>
    <xf numFmtId="0" fontId="6" fillId="19" borderId="11" xfId="0" applyFont="1" applyFill="1" applyBorder="1" applyAlignment="1">
      <alignment horizontal="left" indent="2"/>
    </xf>
    <xf numFmtId="0" fontId="0" fillId="19" borderId="9" xfId="0" applyFill="1" applyBorder="1"/>
    <xf numFmtId="167" fontId="6" fillId="19" borderId="9" xfId="0" applyNumberFormat="1" applyFont="1" applyFill="1" applyBorder="1"/>
    <xf numFmtId="0" fontId="0" fillId="19" borderId="10" xfId="0" applyFill="1" applyBorder="1"/>
    <xf numFmtId="0" fontId="36" fillId="0" borderId="0" xfId="5" applyFont="1" applyAlignment="1" applyProtection="1">
      <alignment horizontal="center" wrapText="1"/>
    </xf>
    <xf numFmtId="0" fontId="36" fillId="0" borderId="0" xfId="5" applyFont="1" applyAlignment="1" applyProtection="1"/>
    <xf numFmtId="0" fontId="6" fillId="0" borderId="0" xfId="0" applyFont="1" applyAlignment="1"/>
    <xf numFmtId="166" fontId="7" fillId="0" borderId="21" xfId="7" applyNumberFormat="1" applyFont="1" applyFill="1" applyBorder="1" applyAlignment="1">
      <alignment horizontal="center"/>
    </xf>
    <xf numFmtId="166" fontId="0" fillId="0" borderId="0" xfId="0" applyNumberFormat="1" applyBorder="1" applyAlignment="1">
      <alignment horizontal="right" indent="1"/>
    </xf>
    <xf numFmtId="0" fontId="5" fillId="0" borderId="0" xfId="0" applyFont="1" applyFill="1" applyBorder="1"/>
    <xf numFmtId="0" fontId="0" fillId="0" borderId="0" xfId="0" applyFill="1" applyBorder="1"/>
    <xf numFmtId="9" fontId="18" fillId="0" borderId="8" xfId="7" applyNumberFormat="1" applyFont="1" applyFill="1" applyBorder="1" applyAlignment="1">
      <alignment horizontal="center"/>
    </xf>
    <xf numFmtId="10" fontId="7" fillId="0" borderId="8" xfId="7" applyNumberFormat="1" applyFont="1" applyFill="1" applyBorder="1" applyAlignment="1">
      <alignment horizontal="center"/>
    </xf>
    <xf numFmtId="0" fontId="6" fillId="7" borderId="8" xfId="0" applyFont="1" applyFill="1" applyBorder="1"/>
    <xf numFmtId="169" fontId="6" fillId="7" borderId="8" xfId="7" applyNumberFormat="1" applyFont="1" applyFill="1" applyBorder="1" applyAlignment="1">
      <alignment horizontal="center"/>
    </xf>
    <xf numFmtId="0" fontId="5" fillId="7" borderId="8" xfId="0" applyFont="1" applyFill="1" applyBorder="1" applyAlignment="1">
      <alignment horizontal="right"/>
    </xf>
    <xf numFmtId="165" fontId="5" fillId="7" borderId="8" xfId="0" applyNumberFormat="1" applyFont="1" applyFill="1" applyBorder="1"/>
    <xf numFmtId="169" fontId="5" fillId="7" borderId="8" xfId="7" applyNumberFormat="1" applyFont="1" applyFill="1" applyBorder="1"/>
    <xf numFmtId="0" fontId="6" fillId="0" borderId="0" xfId="0" applyFont="1" applyFill="1" applyBorder="1"/>
    <xf numFmtId="169" fontId="6" fillId="0" borderId="0" xfId="7" applyNumberFormat="1" applyFont="1" applyFill="1" applyBorder="1" applyAlignment="1">
      <alignment horizontal="center"/>
    </xf>
    <xf numFmtId="0" fontId="5" fillId="0" borderId="0" xfId="0" applyFont="1" applyFill="1" applyBorder="1" applyAlignment="1">
      <alignment horizontal="right"/>
    </xf>
    <xf numFmtId="172" fontId="5" fillId="5" borderId="10" xfId="0" applyNumberFormat="1" applyFont="1" applyFill="1" applyBorder="1" applyAlignment="1">
      <alignment horizontal="right"/>
    </xf>
    <xf numFmtId="172" fontId="5" fillId="5" borderId="8" xfId="0" applyNumberFormat="1" applyFont="1" applyFill="1" applyBorder="1" applyAlignment="1">
      <alignment horizontal="right"/>
    </xf>
    <xf numFmtId="169" fontId="5" fillId="5" borderId="8" xfId="7" applyNumberFormat="1" applyFont="1" applyFill="1" applyBorder="1" applyAlignment="1">
      <alignment horizontal="right"/>
    </xf>
    <xf numFmtId="169" fontId="3" fillId="0" borderId="0" xfId="7" applyNumberFormat="1" applyFont="1" applyAlignment="1">
      <alignment horizontal="right" indent="1"/>
    </xf>
    <xf numFmtId="0" fontId="7" fillId="0" borderId="3" xfId="0" applyFont="1" applyBorder="1"/>
    <xf numFmtId="165" fontId="0" fillId="0" borderId="0" xfId="0" applyNumberFormat="1" applyAlignment="1">
      <alignment horizontal="left" wrapText="1"/>
    </xf>
    <xf numFmtId="7" fontId="7" fillId="18" borderId="1" xfId="0" applyNumberFormat="1" applyFont="1" applyFill="1" applyBorder="1" applyAlignment="1">
      <alignment horizontal="right"/>
    </xf>
    <xf numFmtId="0" fontId="0" fillId="18" borderId="16" xfId="0" applyFill="1" applyBorder="1" applyAlignment="1">
      <alignment horizontal="center"/>
    </xf>
    <xf numFmtId="0" fontId="0" fillId="18" borderId="0" xfId="0" applyFill="1" applyBorder="1" applyAlignment="1">
      <alignment horizontal="center"/>
    </xf>
    <xf numFmtId="0" fontId="0" fillId="18" borderId="1" xfId="0" applyFill="1" applyBorder="1" applyAlignment="1">
      <alignment horizontal="center"/>
    </xf>
    <xf numFmtId="172" fontId="7" fillId="18" borderId="16" xfId="0" applyNumberFormat="1" applyFont="1" applyFill="1" applyBorder="1" applyAlignment="1">
      <alignment horizontal="center"/>
    </xf>
    <xf numFmtId="172" fontId="7" fillId="18" borderId="0" xfId="0" applyNumberFormat="1" applyFont="1" applyFill="1" applyBorder="1" applyAlignment="1">
      <alignment horizontal="center"/>
    </xf>
    <xf numFmtId="172" fontId="7" fillId="18" borderId="1" xfId="0" applyNumberFormat="1" applyFont="1" applyFill="1" applyBorder="1" applyAlignment="1">
      <alignment horizontal="center"/>
    </xf>
    <xf numFmtId="7" fontId="6" fillId="18" borderId="0" xfId="0" applyNumberFormat="1" applyFont="1" applyFill="1" applyBorder="1" applyAlignment="1">
      <alignment horizontal="center"/>
    </xf>
    <xf numFmtId="7" fontId="6" fillId="18" borderId="1" xfId="0" applyNumberFormat="1" applyFont="1" applyFill="1" applyBorder="1" applyAlignment="1">
      <alignment horizontal="center"/>
    </xf>
    <xf numFmtId="7" fontId="6" fillId="18" borderId="6" xfId="0" applyNumberFormat="1" applyFont="1" applyFill="1" applyBorder="1" applyAlignment="1">
      <alignment horizontal="center"/>
    </xf>
    <xf numFmtId="7" fontId="6" fillId="18" borderId="7" xfId="0" applyNumberFormat="1" applyFont="1" applyFill="1" applyBorder="1" applyAlignment="1">
      <alignment horizontal="center"/>
    </xf>
    <xf numFmtId="165" fontId="3" fillId="20" borderId="11" xfId="1" applyNumberFormat="1" applyFont="1" applyFill="1" applyBorder="1" applyAlignment="1">
      <alignment horizontal="right" indent="1"/>
    </xf>
    <xf numFmtId="165" fontId="3" fillId="20" borderId="9" xfId="1" applyNumberFormat="1" applyFont="1" applyFill="1" applyBorder="1" applyAlignment="1">
      <alignment horizontal="right" indent="1"/>
    </xf>
    <xf numFmtId="165" fontId="3" fillId="20" borderId="10" xfId="1" applyNumberFormat="1" applyFont="1" applyFill="1" applyBorder="1" applyAlignment="1">
      <alignment horizontal="right" indent="1"/>
    </xf>
    <xf numFmtId="43" fontId="53" fillId="0" borderId="0" xfId="0" applyNumberFormat="1" applyFont="1"/>
    <xf numFmtId="167" fontId="0" fillId="0" borderId="0" xfId="0" applyNumberFormat="1"/>
    <xf numFmtId="0" fontId="39" fillId="0" borderId="0" xfId="0" applyFont="1" applyAlignment="1">
      <alignment horizontal="left" indent="1"/>
    </xf>
    <xf numFmtId="9" fontId="5" fillId="0" borderId="0" xfId="7" applyFont="1" applyBorder="1" applyAlignment="1">
      <alignment horizontal="center"/>
    </xf>
    <xf numFmtId="9" fontId="5" fillId="0" borderId="0" xfId="7" applyFont="1" applyFill="1" applyBorder="1" applyAlignment="1">
      <alignment horizontal="center"/>
    </xf>
    <xf numFmtId="9" fontId="5" fillId="0" borderId="1" xfId="7" applyFont="1" applyFill="1" applyBorder="1" applyAlignment="1">
      <alignment horizontal="center"/>
    </xf>
    <xf numFmtId="9" fontId="5" fillId="0" borderId="1" xfId="7" applyFont="1" applyBorder="1" applyAlignment="1">
      <alignment horizontal="center"/>
    </xf>
    <xf numFmtId="2" fontId="0" fillId="0" borderId="0" xfId="0" applyNumberFormat="1" applyAlignment="1">
      <alignment horizontal="center" wrapText="1"/>
    </xf>
    <xf numFmtId="7" fontId="19" fillId="0" borderId="0" xfId="3" applyNumberFormat="1" applyFont="1" applyBorder="1"/>
    <xf numFmtId="43" fontId="6" fillId="0" borderId="1" xfId="1" applyNumberFormat="1" applyFont="1" applyBorder="1"/>
    <xf numFmtId="167" fontId="6" fillId="0" borderId="0" xfId="0" applyNumberFormat="1" applyFont="1" applyBorder="1" applyAlignment="1">
      <alignment horizontal="right"/>
    </xf>
    <xf numFmtId="9" fontId="6" fillId="0" borderId="12" xfId="7" applyNumberFormat="1" applyFont="1" applyBorder="1" applyAlignment="1">
      <alignment horizontal="right"/>
    </xf>
    <xf numFmtId="0" fontId="7" fillId="0" borderId="12" xfId="0" applyFont="1" applyBorder="1" applyAlignment="1">
      <alignment horizontal="right"/>
    </xf>
    <xf numFmtId="2" fontId="7" fillId="0" borderId="2" xfId="0" applyNumberFormat="1" applyFont="1" applyBorder="1"/>
    <xf numFmtId="2" fontId="7" fillId="0" borderId="5" xfId="0" applyNumberFormat="1" applyFont="1" applyBorder="1"/>
    <xf numFmtId="0" fontId="0" fillId="0" borderId="9" xfId="0" applyBorder="1" applyAlignment="1">
      <alignment horizontal="center"/>
    </xf>
    <xf numFmtId="0" fontId="0" fillId="0" borderId="12" xfId="0" applyBorder="1"/>
    <xf numFmtId="0" fontId="5" fillId="0" borderId="15" xfId="0" applyFont="1" applyBorder="1" applyAlignment="1">
      <alignment horizontal="left" wrapText="1" indent="1"/>
    </xf>
    <xf numFmtId="169" fontId="18" fillId="21" borderId="8" xfId="7" applyNumberFormat="1" applyFont="1" applyFill="1" applyBorder="1" applyAlignment="1">
      <alignment horizontal="right" indent="1"/>
    </xf>
    <xf numFmtId="3" fontId="18" fillId="21" borderId="8" xfId="7" applyNumberFormat="1" applyFont="1" applyFill="1" applyBorder="1" applyAlignment="1">
      <alignment horizontal="center"/>
    </xf>
    <xf numFmtId="0" fontId="5" fillId="0" borderId="9" xfId="0" applyFont="1" applyBorder="1" applyAlignment="1">
      <alignment horizontal="left"/>
    </xf>
    <xf numFmtId="0" fontId="5" fillId="0" borderId="9" xfId="0" applyFont="1" applyBorder="1" applyAlignment="1">
      <alignment horizontal="right"/>
    </xf>
    <xf numFmtId="0" fontId="36" fillId="0" borderId="10" xfId="5" applyFont="1" applyBorder="1" applyAlignment="1" applyProtection="1">
      <alignment horizontal="center" wrapText="1"/>
    </xf>
    <xf numFmtId="5" fontId="0" fillId="0" borderId="0" xfId="1" applyNumberFormat="1" applyFont="1" applyAlignment="1">
      <alignment horizontal="center"/>
    </xf>
    <xf numFmtId="0" fontId="3" fillId="0" borderId="9" xfId="0" applyFont="1" applyBorder="1" applyAlignment="1">
      <alignment horizontal="right"/>
    </xf>
    <xf numFmtId="0" fontId="0" fillId="0" borderId="10" xfId="0" applyBorder="1"/>
    <xf numFmtId="183" fontId="6" fillId="0" borderId="0" xfId="3" applyNumberFormat="1" applyFont="1"/>
    <xf numFmtId="183" fontId="6" fillId="0" borderId="0" xfId="0" applyNumberFormat="1" applyFont="1"/>
    <xf numFmtId="0" fontId="17" fillId="0" borderId="0" xfId="0" applyFont="1" applyAlignment="1">
      <alignment horizontal="left"/>
    </xf>
    <xf numFmtId="0" fontId="2" fillId="0" borderId="0" xfId="0" applyFont="1" applyAlignment="1">
      <alignment horizontal="left"/>
    </xf>
    <xf numFmtId="0" fontId="0" fillId="15" borderId="0" xfId="0" applyFill="1" applyBorder="1"/>
    <xf numFmtId="0" fontId="5" fillId="15" borderId="0" xfId="0" applyFont="1" applyFill="1" applyBorder="1"/>
    <xf numFmtId="0" fontId="0" fillId="15" borderId="16" xfId="0" applyFill="1" applyBorder="1"/>
    <xf numFmtId="0" fontId="0" fillId="15" borderId="1" xfId="0" applyFill="1" applyBorder="1"/>
    <xf numFmtId="0" fontId="5" fillId="15" borderId="16" xfId="0" applyFont="1" applyFill="1" applyBorder="1" applyAlignment="1">
      <alignment horizontal="left" indent="1"/>
    </xf>
    <xf numFmtId="0" fontId="36" fillId="15" borderId="1" xfId="5" applyFont="1" applyFill="1" applyBorder="1" applyAlignment="1" applyProtection="1">
      <alignment horizontal="center" wrapText="1"/>
    </xf>
    <xf numFmtId="0" fontId="0" fillId="15" borderId="6" xfId="0" applyFill="1" applyBorder="1"/>
    <xf numFmtId="0" fontId="3" fillId="0" borderId="9" xfId="0" applyFont="1" applyBorder="1"/>
    <xf numFmtId="0" fontId="0" fillId="15" borderId="6" xfId="0" applyFill="1" applyBorder="1" applyAlignment="1">
      <alignment vertical="center"/>
    </xf>
    <xf numFmtId="0" fontId="36" fillId="15" borderId="7" xfId="5" applyFont="1" applyFill="1" applyBorder="1" applyAlignment="1" applyProtection="1">
      <alignment horizontal="center" vertical="center" wrapText="1"/>
    </xf>
    <xf numFmtId="0" fontId="5" fillId="15" borderId="5" xfId="0" applyFont="1" applyFill="1" applyBorder="1" applyAlignment="1">
      <alignment horizontal="left" vertical="center" indent="1"/>
    </xf>
    <xf numFmtId="0" fontId="0" fillId="15" borderId="3" xfId="0" applyFill="1" applyBorder="1"/>
    <xf numFmtId="0" fontId="0" fillId="15" borderId="4" xfId="0" applyFill="1" applyBorder="1"/>
    <xf numFmtId="0" fontId="6" fillId="15" borderId="16" xfId="0" applyFont="1" applyFill="1" applyBorder="1" applyAlignment="1">
      <alignment horizontal="left" indent="1"/>
    </xf>
    <xf numFmtId="7" fontId="0" fillId="15" borderId="0" xfId="0" applyNumberFormat="1" applyFill="1" applyBorder="1" applyAlignment="1">
      <alignment horizontal="left"/>
    </xf>
    <xf numFmtId="0" fontId="6" fillId="15" borderId="5" xfId="0" applyFont="1" applyFill="1" applyBorder="1" applyAlignment="1">
      <alignment horizontal="left" indent="1"/>
    </xf>
    <xf numFmtId="0" fontId="5" fillId="15" borderId="6" xfId="0" applyFont="1" applyFill="1" applyBorder="1"/>
    <xf numFmtId="0" fontId="0" fillId="15" borderId="7" xfId="0" applyFill="1" applyBorder="1"/>
    <xf numFmtId="0" fontId="43" fillId="15" borderId="2" xfId="0" applyFont="1" applyFill="1" applyBorder="1" applyAlignment="1">
      <alignment horizontal="left" indent="1"/>
    </xf>
    <xf numFmtId="176" fontId="45" fillId="15" borderId="0" xfId="7" applyNumberFormat="1" applyFont="1" applyFill="1" applyBorder="1" applyAlignment="1">
      <alignment horizontal="left"/>
    </xf>
    <xf numFmtId="0" fontId="6" fillId="0" borderId="0" xfId="0" quotePrefix="1" applyFont="1"/>
    <xf numFmtId="0" fontId="0" fillId="15" borderId="6" xfId="0" applyFill="1" applyBorder="1" applyAlignment="1">
      <alignment horizontal="left"/>
    </xf>
    <xf numFmtId="0" fontId="0" fillId="0" borderId="0" xfId="0" applyAlignment="1">
      <alignment horizontal="left" vertical="center" indent="1"/>
    </xf>
    <xf numFmtId="0" fontId="5" fillId="7" borderId="6" xfId="0" applyFont="1" applyFill="1" applyBorder="1"/>
    <xf numFmtId="0" fontId="5" fillId="7" borderId="7" xfId="0" applyFont="1" applyFill="1" applyBorder="1"/>
    <xf numFmtId="0" fontId="0" fillId="0" borderId="2" xfId="0" applyBorder="1"/>
    <xf numFmtId="0" fontId="0" fillId="0" borderId="3" xfId="0" applyBorder="1"/>
    <xf numFmtId="0" fontId="5" fillId="0" borderId="3" xfId="0" applyFont="1" applyBorder="1" applyAlignment="1">
      <alignment horizontal="right"/>
    </xf>
    <xf numFmtId="0" fontId="36" fillId="0" borderId="4" xfId="5" applyFont="1" applyBorder="1" applyAlignment="1" applyProtection="1">
      <alignment horizontal="center" wrapText="1"/>
    </xf>
    <xf numFmtId="169" fontId="7" fillId="0" borderId="0" xfId="0" applyNumberFormat="1" applyFont="1" applyAlignment="1">
      <alignment horizontal="right"/>
    </xf>
    <xf numFmtId="4" fontId="0" fillId="22" borderId="0" xfId="0" applyNumberFormat="1" applyFill="1"/>
    <xf numFmtId="169" fontId="7" fillId="22" borderId="0" xfId="0" applyNumberFormat="1" applyFont="1" applyFill="1" applyAlignment="1">
      <alignment horizontal="right"/>
    </xf>
    <xf numFmtId="3" fontId="0" fillId="22" borderId="0" xfId="0" applyNumberFormat="1" applyFill="1"/>
    <xf numFmtId="0" fontId="0" fillId="23" borderId="0" xfId="0" applyFill="1"/>
    <xf numFmtId="4" fontId="0" fillId="23" borderId="0" xfId="0" applyNumberFormat="1" applyFill="1"/>
    <xf numFmtId="3" fontId="0" fillId="23" borderId="0" xfId="0" applyNumberFormat="1" applyFill="1"/>
    <xf numFmtId="0" fontId="0" fillId="24" borderId="0" xfId="0" applyFill="1"/>
    <xf numFmtId="4" fontId="0" fillId="24" borderId="0" xfId="0" applyNumberFormat="1" applyFill="1"/>
    <xf numFmtId="3" fontId="0" fillId="24" borderId="0" xfId="0" applyNumberFormat="1" applyFill="1"/>
    <xf numFmtId="0" fontId="0" fillId="25" borderId="0" xfId="0" applyFill="1"/>
    <xf numFmtId="4" fontId="0" fillId="25" borderId="0" xfId="0" applyNumberFormat="1" applyFill="1"/>
    <xf numFmtId="3" fontId="0" fillId="25" borderId="0" xfId="0" applyNumberFormat="1" applyFill="1"/>
    <xf numFmtId="4" fontId="5" fillId="22" borderId="0" xfId="0" applyNumberFormat="1" applyFont="1" applyFill="1"/>
    <xf numFmtId="3" fontId="5" fillId="22" borderId="0" xfId="0" applyNumberFormat="1" applyFont="1" applyFill="1"/>
    <xf numFmtId="4" fontId="5" fillId="23" borderId="0" xfId="0" applyNumberFormat="1" applyFont="1" applyFill="1"/>
    <xf numFmtId="3" fontId="5" fillId="23" borderId="0" xfId="0" applyNumberFormat="1" applyFont="1" applyFill="1"/>
    <xf numFmtId="4" fontId="5" fillId="24" borderId="0" xfId="0" applyNumberFormat="1" applyFont="1" applyFill="1"/>
    <xf numFmtId="3" fontId="5" fillId="24" borderId="0" xfId="0" applyNumberFormat="1" applyFont="1" applyFill="1"/>
    <xf numFmtId="4" fontId="5" fillId="25" borderId="0" xfId="0" applyNumberFormat="1" applyFont="1" applyFill="1"/>
    <xf numFmtId="3" fontId="5" fillId="25" borderId="0" xfId="0" applyNumberFormat="1" applyFont="1" applyFill="1"/>
    <xf numFmtId="0" fontId="5" fillId="23" borderId="0" xfId="0" applyFont="1" applyFill="1"/>
    <xf numFmtId="165" fontId="5" fillId="23" borderId="0" xfId="0" applyNumberFormat="1" applyFont="1" applyFill="1"/>
    <xf numFmtId="0" fontId="5" fillId="24" borderId="0" xfId="0" applyFont="1" applyFill="1"/>
    <xf numFmtId="165" fontId="5" fillId="24" borderId="0" xfId="0" applyNumberFormat="1" applyFont="1" applyFill="1"/>
    <xf numFmtId="0" fontId="5" fillId="25" borderId="0" xfId="0" applyFont="1" applyFill="1"/>
    <xf numFmtId="165" fontId="5" fillId="25" borderId="0" xfId="0" applyNumberFormat="1" applyFont="1" applyFill="1"/>
    <xf numFmtId="37" fontId="0" fillId="23" borderId="0" xfId="0" applyNumberFormat="1" applyFill="1"/>
    <xf numFmtId="0" fontId="5" fillId="23" borderId="8" xfId="0" applyFont="1" applyFill="1" applyBorder="1" applyAlignment="1">
      <alignment horizontal="right"/>
    </xf>
    <xf numFmtId="37" fontId="0" fillId="23" borderId="0" xfId="0" applyNumberFormat="1" applyFill="1" applyAlignment="1">
      <alignment horizontal="right"/>
    </xf>
    <xf numFmtId="3" fontId="0" fillId="23" borderId="0" xfId="0" applyNumberFormat="1" applyFill="1" applyAlignment="1">
      <alignment horizontal="right"/>
    </xf>
    <xf numFmtId="3" fontId="5" fillId="23" borderId="11" xfId="0" applyNumberFormat="1" applyFont="1" applyFill="1" applyBorder="1"/>
    <xf numFmtId="3" fontId="5" fillId="23" borderId="9" xfId="0" applyNumberFormat="1" applyFont="1" applyFill="1" applyBorder="1" applyAlignment="1">
      <alignment horizontal="right"/>
    </xf>
    <xf numFmtId="3" fontId="5" fillId="23" borderId="10" xfId="0" applyNumberFormat="1" applyFont="1" applyFill="1" applyBorder="1"/>
    <xf numFmtId="0" fontId="5" fillId="24" borderId="8" xfId="0" applyFont="1" applyFill="1" applyBorder="1" applyAlignment="1">
      <alignment horizontal="right"/>
    </xf>
    <xf numFmtId="37" fontId="0" fillId="24" borderId="0" xfId="0" applyNumberFormat="1" applyFill="1"/>
    <xf numFmtId="0" fontId="0" fillId="24" borderId="11" xfId="0" applyFill="1" applyBorder="1"/>
    <xf numFmtId="0" fontId="5" fillId="24" borderId="9" xfId="0" applyFont="1" applyFill="1" applyBorder="1" applyAlignment="1">
      <alignment horizontal="right"/>
    </xf>
    <xf numFmtId="37" fontId="5" fillId="24" borderId="10" xfId="0" applyNumberFormat="1" applyFont="1" applyFill="1" applyBorder="1"/>
    <xf numFmtId="0" fontId="5" fillId="25" borderId="8" xfId="0" applyFont="1" applyFill="1" applyBorder="1" applyAlignment="1">
      <alignment horizontal="right"/>
    </xf>
    <xf numFmtId="37" fontId="0" fillId="25" borderId="0" xfId="0" applyNumberFormat="1" applyFill="1"/>
    <xf numFmtId="0" fontId="0" fillId="25" borderId="11" xfId="0" applyFill="1" applyBorder="1"/>
    <xf numFmtId="0" fontId="5" fillId="25" borderId="9" xfId="0" applyFont="1" applyFill="1" applyBorder="1" applyAlignment="1">
      <alignment horizontal="right"/>
    </xf>
    <xf numFmtId="37" fontId="5" fillId="25" borderId="10" xfId="0" applyNumberFormat="1" applyFont="1" applyFill="1" applyBorder="1"/>
    <xf numFmtId="37" fontId="3" fillId="25" borderId="0" xfId="0" applyNumberFormat="1" applyFont="1" applyFill="1"/>
    <xf numFmtId="9" fontId="5" fillId="23" borderId="15" xfId="0" applyNumberFormat="1" applyFont="1" applyFill="1" applyBorder="1" applyAlignment="1">
      <alignment horizontal="center"/>
    </xf>
    <xf numFmtId="9" fontId="5" fillId="25" borderId="15" xfId="0" applyNumberFormat="1" applyFont="1" applyFill="1" applyBorder="1" applyAlignment="1">
      <alignment horizontal="center"/>
    </xf>
    <xf numFmtId="0" fontId="6" fillId="24" borderId="12" xfId="0" applyFont="1" applyFill="1" applyBorder="1" applyAlignment="1">
      <alignment horizontal="center"/>
    </xf>
    <xf numFmtId="9" fontId="5" fillId="24" borderId="15" xfId="0" applyNumberFormat="1" applyFont="1" applyFill="1" applyBorder="1" applyAlignment="1">
      <alignment horizontal="center"/>
    </xf>
    <xf numFmtId="0" fontId="3" fillId="0" borderId="23" xfId="0" applyFont="1" applyBorder="1" applyAlignment="1">
      <alignment vertical="center"/>
    </xf>
    <xf numFmtId="0" fontId="3" fillId="26" borderId="4" xfId="0" applyFont="1" applyFill="1" applyBorder="1"/>
    <xf numFmtId="0" fontId="5" fillId="7" borderId="9" xfId="0" applyFont="1" applyFill="1" applyBorder="1"/>
    <xf numFmtId="169" fontId="5" fillId="7" borderId="10" xfId="0" applyNumberFormat="1" applyFont="1" applyFill="1" applyBorder="1"/>
    <xf numFmtId="0" fontId="5" fillId="26" borderId="11" xfId="0" applyFont="1" applyFill="1" applyBorder="1"/>
    <xf numFmtId="0" fontId="6" fillId="26" borderId="9" xfId="0" applyFont="1" applyFill="1" applyBorder="1"/>
    <xf numFmtId="0" fontId="0" fillId="26" borderId="9" xfId="0" applyFill="1" applyBorder="1"/>
    <xf numFmtId="169" fontId="5" fillId="26" borderId="10" xfId="0" applyNumberFormat="1" applyFont="1" applyFill="1" applyBorder="1"/>
    <xf numFmtId="169" fontId="5" fillId="26" borderId="9" xfId="0" applyNumberFormat="1" applyFont="1" applyFill="1" applyBorder="1"/>
    <xf numFmtId="0" fontId="5" fillId="27" borderId="11" xfId="0" applyFont="1" applyFill="1" applyBorder="1"/>
    <xf numFmtId="0" fontId="6" fillId="27" borderId="9" xfId="0" applyFont="1" applyFill="1" applyBorder="1"/>
    <xf numFmtId="0" fontId="0" fillId="27" borderId="9" xfId="0" applyFill="1" applyBorder="1"/>
    <xf numFmtId="169" fontId="5" fillId="27" borderId="9" xfId="0" applyNumberFormat="1" applyFont="1" applyFill="1" applyBorder="1"/>
    <xf numFmtId="169" fontId="5" fillId="27" borderId="10" xfId="0" applyNumberFormat="1" applyFont="1" applyFill="1" applyBorder="1"/>
    <xf numFmtId="0" fontId="3" fillId="0" borderId="0" xfId="0" applyFont="1" applyFill="1" applyAlignment="1">
      <alignment horizontal="left" indent="1"/>
    </xf>
    <xf numFmtId="169" fontId="5" fillId="0" borderId="0" xfId="0" applyNumberFormat="1" applyFont="1" applyFill="1" applyBorder="1"/>
    <xf numFmtId="0" fontId="0" fillId="0" borderId="0" xfId="0" applyAlignment="1">
      <alignment horizontal="center" vertical="center" wrapText="1"/>
    </xf>
    <xf numFmtId="169" fontId="46" fillId="28" borderId="9" xfId="7" applyNumberFormat="1" applyFont="1" applyFill="1" applyBorder="1"/>
    <xf numFmtId="9" fontId="46" fillId="28" borderId="9" xfId="7" applyNumberFormat="1" applyFont="1" applyFill="1" applyBorder="1"/>
    <xf numFmtId="3" fontId="0" fillId="23" borderId="12" xfId="0" applyNumberFormat="1" applyFill="1" applyBorder="1"/>
    <xf numFmtId="3" fontId="0" fillId="23" borderId="18" xfId="0" applyNumberFormat="1" applyFill="1" applyBorder="1"/>
    <xf numFmtId="3" fontId="0" fillId="23" borderId="15" xfId="0" applyNumberFormat="1" applyFill="1" applyBorder="1"/>
    <xf numFmtId="0" fontId="2" fillId="24" borderId="0" xfId="0" applyFont="1" applyFill="1" applyAlignment="1">
      <alignment horizontal="center"/>
    </xf>
    <xf numFmtId="0" fontId="2" fillId="24" borderId="0" xfId="0" applyFont="1" applyFill="1" applyAlignment="1">
      <alignment horizontal="center"/>
    </xf>
    <xf numFmtId="0" fontId="6" fillId="23" borderId="16" xfId="0" applyFont="1" applyFill="1" applyBorder="1" applyAlignment="1">
      <alignment horizontal="center"/>
    </xf>
    <xf numFmtId="0" fontId="6" fillId="23" borderId="2" xfId="0" applyFont="1" applyFill="1" applyBorder="1" applyAlignment="1">
      <alignment horizontal="center"/>
    </xf>
    <xf numFmtId="0" fontId="0" fillId="24" borderId="12" xfId="0" applyFill="1" applyBorder="1"/>
    <xf numFmtId="0" fontId="6" fillId="24" borderId="18" xfId="0" applyFont="1" applyFill="1" applyBorder="1" applyAlignment="1">
      <alignment horizontal="center"/>
    </xf>
    <xf numFmtId="9" fontId="5" fillId="24" borderId="15" xfId="7" applyFont="1" applyFill="1" applyBorder="1" applyAlignment="1">
      <alignment horizontal="center"/>
    </xf>
    <xf numFmtId="0" fontId="2" fillId="25" borderId="0" xfId="0" applyFont="1" applyFill="1" applyAlignment="1">
      <alignment horizontal="center"/>
    </xf>
    <xf numFmtId="0" fontId="2" fillId="25" borderId="0" xfId="0" applyFont="1" applyFill="1" applyAlignment="1">
      <alignment horizontal="center"/>
    </xf>
    <xf numFmtId="0" fontId="6" fillId="25" borderId="18" xfId="0" applyFont="1" applyFill="1" applyBorder="1" applyAlignment="1">
      <alignment horizontal="center"/>
    </xf>
    <xf numFmtId="0" fontId="0" fillId="25" borderId="12" xfId="0" applyFill="1" applyBorder="1"/>
    <xf numFmtId="0" fontId="6" fillId="0" borderId="2" xfId="0" applyFont="1" applyBorder="1"/>
    <xf numFmtId="9" fontId="0" fillId="0" borderId="4" xfId="0" applyNumberFormat="1" applyBorder="1"/>
    <xf numFmtId="0" fontId="6" fillId="0" borderId="16" xfId="0" applyFont="1" applyBorder="1"/>
    <xf numFmtId="168" fontId="0" fillId="0" borderId="1" xfId="0" applyNumberFormat="1" applyBorder="1"/>
    <xf numFmtId="0" fontId="6" fillId="0" borderId="5" xfId="0" applyFont="1" applyBorder="1"/>
    <xf numFmtId="0" fontId="0" fillId="0" borderId="6" xfId="0" applyBorder="1"/>
    <xf numFmtId="168" fontId="0" fillId="0" borderId="7" xfId="0" applyNumberFormat="1" applyBorder="1"/>
    <xf numFmtId="0" fontId="3" fillId="0" borderId="3" xfId="0" applyFont="1" applyBorder="1"/>
    <xf numFmtId="0" fontId="3" fillId="0" borderId="6" xfId="0" applyFont="1" applyBorder="1"/>
    <xf numFmtId="169" fontId="7" fillId="28" borderId="9" xfId="7" applyNumberFormat="1" applyFont="1" applyFill="1" applyBorder="1" applyAlignment="1">
      <alignment horizontal="right"/>
    </xf>
    <xf numFmtId="169" fontId="7" fillId="28" borderId="11" xfId="7" applyNumberFormat="1" applyFont="1" applyFill="1" applyBorder="1" applyAlignment="1">
      <alignment horizontal="right"/>
    </xf>
    <xf numFmtId="169" fontId="7" fillId="28" borderId="10" xfId="7" applyNumberFormat="1" applyFont="1" applyFill="1" applyBorder="1" applyAlignment="1">
      <alignment horizontal="right"/>
    </xf>
    <xf numFmtId="3" fontId="0" fillId="23" borderId="16" xfId="0" applyNumberFormat="1" applyFill="1" applyBorder="1"/>
    <xf numFmtId="0" fontId="0" fillId="24" borderId="18" xfId="0" applyFill="1" applyBorder="1"/>
    <xf numFmtId="0" fontId="0" fillId="24" borderId="15" xfId="0" applyFill="1" applyBorder="1"/>
    <xf numFmtId="0" fontId="0" fillId="25" borderId="18" xfId="0" applyFill="1" applyBorder="1"/>
    <xf numFmtId="0" fontId="0" fillId="25" borderId="15" xfId="0" applyFill="1" applyBorder="1"/>
    <xf numFmtId="169" fontId="47" fillId="22" borderId="0" xfId="7" applyNumberFormat="1" applyFont="1" applyFill="1"/>
    <xf numFmtId="169" fontId="47" fillId="23" borderId="0" xfId="7" applyNumberFormat="1" applyFont="1" applyFill="1"/>
    <xf numFmtId="169" fontId="47" fillId="24" borderId="0" xfId="7" applyNumberFormat="1" applyFont="1" applyFill="1"/>
    <xf numFmtId="169" fontId="47" fillId="25" borderId="0" xfId="7" applyNumberFormat="1" applyFont="1" applyFill="1"/>
    <xf numFmtId="0" fontId="6" fillId="23" borderId="12" xfId="0" applyFont="1" applyFill="1" applyBorder="1" applyAlignment="1">
      <alignment horizontal="center"/>
    </xf>
    <xf numFmtId="0" fontId="6" fillId="25" borderId="15" xfId="0" applyFont="1" applyFill="1" applyBorder="1" applyAlignment="1">
      <alignment horizontal="center"/>
    </xf>
    <xf numFmtId="0" fontId="0" fillId="0" borderId="26" xfId="0" applyBorder="1"/>
    <xf numFmtId="0" fontId="0" fillId="0" borderId="0" xfId="0" applyAlignment="1">
      <alignment horizontal="left"/>
    </xf>
    <xf numFmtId="0" fontId="48" fillId="0" borderId="0" xfId="0" applyFont="1" applyFill="1"/>
    <xf numFmtId="5" fontId="0" fillId="0" borderId="0" xfId="0" applyNumberFormat="1" applyBorder="1"/>
    <xf numFmtId="1" fontId="0" fillId="0" borderId="0" xfId="0" applyNumberFormat="1" applyBorder="1"/>
    <xf numFmtId="1" fontId="48" fillId="0" borderId="0" xfId="0" applyNumberFormat="1" applyFont="1" applyFill="1"/>
    <xf numFmtId="1" fontId="6" fillId="0" borderId="0" xfId="0" applyNumberFormat="1" applyFont="1" applyFill="1"/>
    <xf numFmtId="0" fontId="7" fillId="26" borderId="3" xfId="0" applyFont="1" applyFill="1" applyBorder="1" applyAlignment="1"/>
    <xf numFmtId="0" fontId="36" fillId="26" borderId="2" xfId="5" applyFont="1" applyFill="1" applyBorder="1" applyAlignment="1" applyProtection="1">
      <alignment horizontal="center"/>
    </xf>
    <xf numFmtId="184" fontId="45" fillId="15" borderId="0" xfId="7" applyNumberFormat="1" applyFont="1" applyFill="1" applyBorder="1" applyAlignment="1">
      <alignment horizontal="left"/>
    </xf>
    <xf numFmtId="0" fontId="50" fillId="0" borderId="0" xfId="0" applyFont="1" applyAlignment="1">
      <alignment horizontal="left" indent="1"/>
    </xf>
    <xf numFmtId="5" fontId="0" fillId="0" borderId="0" xfId="3" applyNumberFormat="1" applyFont="1"/>
    <xf numFmtId="177" fontId="0" fillId="0" borderId="0" xfId="3" applyNumberFormat="1" applyFont="1"/>
    <xf numFmtId="0" fontId="3" fillId="17" borderId="2" xfId="0" applyFont="1" applyFill="1" applyBorder="1"/>
    <xf numFmtId="0" fontId="0" fillId="17" borderId="3" xfId="0" applyFill="1" applyBorder="1"/>
    <xf numFmtId="0" fontId="0" fillId="17" borderId="4" xfId="0" applyFill="1" applyBorder="1"/>
    <xf numFmtId="0" fontId="3" fillId="17" borderId="16" xfId="0" applyFont="1" applyFill="1" applyBorder="1"/>
    <xf numFmtId="0" fontId="0" fillId="17" borderId="0" xfId="0" applyFill="1" applyBorder="1"/>
    <xf numFmtId="0" fontId="0" fillId="17" borderId="1" xfId="0" applyFill="1" applyBorder="1"/>
    <xf numFmtId="0" fontId="3" fillId="17" borderId="16" xfId="0" applyFont="1" applyFill="1" applyBorder="1" applyAlignment="1">
      <alignment horizontal="left" indent="1"/>
    </xf>
    <xf numFmtId="0" fontId="3" fillId="17" borderId="5" xfId="0" applyFont="1" applyFill="1" applyBorder="1"/>
    <xf numFmtId="0" fontId="0" fillId="17" borderId="6" xfId="0" applyFill="1" applyBorder="1"/>
    <xf numFmtId="0" fontId="0" fillId="17" borderId="7" xfId="0" applyFill="1" applyBorder="1"/>
    <xf numFmtId="0" fontId="3" fillId="17" borderId="11" xfId="0" applyFont="1" applyFill="1" applyBorder="1" applyAlignment="1">
      <alignment horizontal="left"/>
    </xf>
    <xf numFmtId="0" fontId="0" fillId="17" borderId="9" xfId="0" applyFill="1" applyBorder="1"/>
    <xf numFmtId="0" fontId="0" fillId="17" borderId="10" xfId="0" applyFill="1" applyBorder="1"/>
    <xf numFmtId="15" fontId="0" fillId="0" borderId="0" xfId="0" applyNumberFormat="1"/>
    <xf numFmtId="168" fontId="51" fillId="0" borderId="0" xfId="0" applyNumberFormat="1" applyFont="1"/>
    <xf numFmtId="0" fontId="5" fillId="0" borderId="11" xfId="0" applyFont="1" applyBorder="1"/>
    <xf numFmtId="5" fontId="0" fillId="0" borderId="9" xfId="3" applyNumberFormat="1" applyFont="1" applyBorder="1"/>
    <xf numFmtId="15" fontId="0" fillId="0" borderId="9" xfId="0" applyNumberFormat="1" applyBorder="1"/>
    <xf numFmtId="168" fontId="51" fillId="0" borderId="9" xfId="0" applyNumberFormat="1" applyFont="1" applyBorder="1"/>
    <xf numFmtId="5" fontId="0" fillId="0" borderId="10" xfId="0" applyNumberFormat="1" applyBorder="1"/>
    <xf numFmtId="7" fontId="0" fillId="0" borderId="0" xfId="3" applyNumberFormat="1" applyFont="1"/>
    <xf numFmtId="175" fontId="0" fillId="0" borderId="0" xfId="3" applyNumberFormat="1" applyFont="1"/>
    <xf numFmtId="0" fontId="30" fillId="0" borderId="0" xfId="0" applyFont="1"/>
    <xf numFmtId="177" fontId="0" fillId="0" borderId="0" xfId="0" applyNumberFormat="1"/>
    <xf numFmtId="177" fontId="5" fillId="0" borderId="0" xfId="0" applyNumberFormat="1" applyFont="1"/>
    <xf numFmtId="175" fontId="0" fillId="0" borderId="0" xfId="0" applyNumberFormat="1"/>
    <xf numFmtId="0" fontId="3" fillId="0" borderId="0" xfId="0" quotePrefix="1" applyFont="1" applyAlignment="1">
      <alignment horizontal="left" indent="1"/>
    </xf>
    <xf numFmtId="0" fontId="0" fillId="0" borderId="0" xfId="0" applyAlignment="1">
      <alignment vertical="center" wrapText="1"/>
    </xf>
    <xf numFmtId="0" fontId="4" fillId="0" borderId="0" xfId="5" applyBorder="1" applyAlignment="1" applyProtection="1"/>
    <xf numFmtId="0" fontId="43" fillId="0" borderId="0" xfId="0" applyFont="1" applyAlignment="1">
      <alignment horizontal="left"/>
    </xf>
    <xf numFmtId="0" fontId="1" fillId="0" borderId="0" xfId="0" applyFont="1" applyAlignment="1">
      <alignment horizontal="left"/>
    </xf>
    <xf numFmtId="0" fontId="1" fillId="0" borderId="2" xfId="0" applyFont="1" applyBorder="1"/>
    <xf numFmtId="0" fontId="0" fillId="0" borderId="5" xfId="0" applyBorder="1"/>
    <xf numFmtId="0" fontId="0" fillId="0" borderId="7" xfId="0" applyBorder="1"/>
    <xf numFmtId="165" fontId="0" fillId="0" borderId="2" xfId="0" applyNumberFormat="1" applyBorder="1"/>
    <xf numFmtId="165" fontId="0" fillId="0" borderId="3" xfId="0" applyNumberFormat="1" applyBorder="1"/>
    <xf numFmtId="165" fontId="0" fillId="0" borderId="4" xfId="0" applyNumberFormat="1" applyBorder="1"/>
    <xf numFmtId="7" fontId="7" fillId="30" borderId="8" xfId="0" applyNumberFormat="1" applyFont="1" applyFill="1" applyBorder="1" applyAlignment="1">
      <alignment horizontal="right"/>
    </xf>
    <xf numFmtId="0" fontId="3" fillId="31" borderId="10" xfId="0" applyFont="1" applyFill="1" applyBorder="1"/>
    <xf numFmtId="0" fontId="0" fillId="15" borderId="12" xfId="0" applyFill="1" applyBorder="1"/>
    <xf numFmtId="7" fontId="0" fillId="15" borderId="15" xfId="0" applyNumberFormat="1" applyFill="1" applyBorder="1"/>
    <xf numFmtId="7" fontId="0" fillId="31" borderId="8" xfId="0" applyNumberFormat="1" applyFill="1" applyBorder="1"/>
    <xf numFmtId="0" fontId="5" fillId="15" borderId="2" xfId="0" applyFont="1" applyFill="1" applyBorder="1" applyAlignment="1">
      <alignment horizontal="left" vertical="center" wrapText="1" indent="1"/>
    </xf>
    <xf numFmtId="0" fontId="0" fillId="0" borderId="3" xfId="0" applyBorder="1" applyAlignment="1">
      <alignment horizontal="left" vertical="center" wrapText="1" indent="1"/>
    </xf>
    <xf numFmtId="0" fontId="0" fillId="0" borderId="4" xfId="0" applyBorder="1" applyAlignment="1">
      <alignment horizontal="left" vertical="center" wrapText="1" indent="1"/>
    </xf>
    <xf numFmtId="0" fontId="0" fillId="0" borderId="16" xfId="0" applyBorder="1" applyAlignment="1">
      <alignment horizontal="left" vertical="center" wrapText="1" indent="1"/>
    </xf>
    <xf numFmtId="0" fontId="0" fillId="0" borderId="0" xfId="0" applyAlignment="1">
      <alignment horizontal="left" vertical="center" wrapText="1" indent="1"/>
    </xf>
    <xf numFmtId="0" fontId="0" fillId="0" borderId="1" xfId="0" applyBorder="1" applyAlignment="1">
      <alignment horizontal="left" vertical="center" wrapText="1" indent="1"/>
    </xf>
    <xf numFmtId="0" fontId="6" fillId="0" borderId="0" xfId="0" applyFont="1" applyAlignment="1">
      <alignment vertical="center" wrapText="1"/>
    </xf>
    <xf numFmtId="0" fontId="18" fillId="0" borderId="0" xfId="0" applyFont="1" applyAlignment="1">
      <alignment horizontal="left" vertical="center" wrapText="1" indent="1"/>
    </xf>
    <xf numFmtId="0" fontId="62" fillId="0" borderId="2" xfId="0" applyFont="1" applyBorder="1" applyAlignment="1">
      <alignment horizontal="left" wrapText="1"/>
    </xf>
    <xf numFmtId="0" fontId="0" fillId="0" borderId="3" xfId="0" applyBorder="1" applyAlignment="1">
      <alignment wrapText="1"/>
    </xf>
    <xf numFmtId="0" fontId="0" fillId="0" borderId="4" xfId="0" applyBorder="1" applyAlignment="1">
      <alignment wrapText="1"/>
    </xf>
    <xf numFmtId="0" fontId="0" fillId="0" borderId="16" xfId="0" applyBorder="1" applyAlignment="1">
      <alignment wrapText="1"/>
    </xf>
    <xf numFmtId="0" fontId="0" fillId="0" borderId="0" xfId="0" applyBorder="1" applyAlignment="1">
      <alignment wrapText="1"/>
    </xf>
    <xf numFmtId="0" fontId="0" fillId="0" borderId="1" xfId="0" applyBorder="1" applyAlignment="1">
      <alignment wrapText="1"/>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0" fontId="5" fillId="0" borderId="0" xfId="0" applyFont="1" applyAlignment="1">
      <alignment horizontal="left" vertical="center" wrapText="1" indent="1"/>
    </xf>
    <xf numFmtId="0" fontId="5" fillId="0" borderId="0" xfId="0" applyFont="1" applyAlignment="1">
      <alignment vertical="center" wrapText="1"/>
    </xf>
    <xf numFmtId="0" fontId="5" fillId="0" borderId="1" xfId="0" applyFont="1" applyBorder="1" applyAlignment="1">
      <alignment horizontal="center" wrapText="1"/>
    </xf>
    <xf numFmtId="0" fontId="5" fillId="0" borderId="7" xfId="0" applyFont="1" applyBorder="1" applyAlignment="1">
      <alignment horizontal="center" wrapText="1"/>
    </xf>
    <xf numFmtId="0" fontId="5" fillId="0" borderId="0" xfId="0" applyFont="1" applyAlignment="1">
      <alignment horizontal="left" vertical="center" wrapText="1"/>
    </xf>
    <xf numFmtId="0" fontId="36" fillId="0" borderId="0" xfId="5" applyFont="1" applyBorder="1" applyAlignment="1" applyProtection="1">
      <alignment vertical="center" wrapText="1"/>
    </xf>
    <xf numFmtId="0" fontId="5" fillId="0" borderId="0" xfId="0" applyFont="1" applyBorder="1" applyAlignment="1">
      <alignment vertical="center" wrapText="1"/>
    </xf>
    <xf numFmtId="0" fontId="43" fillId="0" borderId="0" xfId="0" applyFont="1" applyAlignment="1">
      <alignment horizontal="left" vertical="center" wrapText="1"/>
    </xf>
    <xf numFmtId="0" fontId="0" fillId="0" borderId="0" xfId="0" applyAlignment="1">
      <alignment horizontal="left" vertical="center" wrapText="1"/>
    </xf>
    <xf numFmtId="0" fontId="36" fillId="0" borderId="0" xfId="5" applyFont="1" applyAlignment="1" applyProtection="1">
      <alignment horizontal="center" vertical="center" wrapText="1"/>
    </xf>
    <xf numFmtId="0" fontId="3" fillId="0" borderId="0" xfId="0" applyFont="1" applyAlignment="1">
      <alignment horizontal="left" vertical="center" wrapText="1" indent="2"/>
    </xf>
    <xf numFmtId="0" fontId="0" fillId="0" borderId="0" xfId="0" applyAlignment="1">
      <alignment horizontal="left" vertical="center" wrapText="1" indent="2"/>
    </xf>
    <xf numFmtId="167" fontId="5" fillId="0" borderId="8" xfId="0" applyNumberFormat="1" applyFont="1" applyBorder="1" applyAlignment="1">
      <alignment horizontal="center"/>
    </xf>
    <xf numFmtId="0" fontId="7" fillId="6" borderId="0" xfId="0" applyFont="1" applyFill="1" applyAlignment="1">
      <alignment horizontal="left" vertical="center" wrapText="1" indent="1"/>
    </xf>
    <xf numFmtId="0" fontId="3" fillId="5" borderId="12" xfId="0" applyFont="1" applyFill="1" applyBorder="1" applyAlignment="1">
      <alignment horizontal="right" vertical="center" wrapText="1"/>
    </xf>
    <xf numFmtId="0" fontId="3" fillId="5" borderId="18" xfId="0" applyFont="1" applyFill="1" applyBorder="1" applyAlignment="1">
      <alignment horizontal="right" vertical="center" wrapText="1"/>
    </xf>
    <xf numFmtId="0" fontId="3" fillId="5" borderId="15" xfId="0" applyFont="1" applyFill="1" applyBorder="1" applyAlignment="1">
      <alignment horizontal="right" vertical="center" wrapText="1"/>
    </xf>
    <xf numFmtId="0" fontId="3" fillId="0" borderId="0" xfId="0" applyFont="1" applyAlignment="1">
      <alignment horizontal="left" vertical="center" wrapText="1" indent="1"/>
    </xf>
    <xf numFmtId="0" fontId="3" fillId="3" borderId="2" xfId="0" applyFont="1" applyFill="1" applyBorder="1" applyAlignment="1">
      <alignment horizontal="right" vertical="center" wrapText="1"/>
    </xf>
    <xf numFmtId="0" fontId="3" fillId="3" borderId="16" xfId="0" applyFont="1" applyFill="1" applyBorder="1" applyAlignment="1">
      <alignment horizontal="right" vertical="center" wrapText="1"/>
    </xf>
    <xf numFmtId="0" fontId="3" fillId="3" borderId="5" xfId="0" applyFont="1" applyFill="1" applyBorder="1" applyAlignment="1">
      <alignment horizontal="right" vertical="center" wrapText="1"/>
    </xf>
    <xf numFmtId="0" fontId="5" fillId="0" borderId="0" xfId="0" applyFont="1" applyBorder="1" applyAlignment="1">
      <alignment wrapText="1"/>
    </xf>
    <xf numFmtId="9" fontId="7" fillId="0" borderId="12" xfId="0" applyNumberFormat="1" applyFont="1" applyBorder="1" applyAlignment="1">
      <alignment horizontal="right" wrapText="1" indent="1"/>
    </xf>
    <xf numFmtId="0" fontId="0" fillId="0" borderId="18" xfId="0" applyBorder="1" applyAlignment="1">
      <alignment horizontal="right" wrapText="1" indent="1"/>
    </xf>
    <xf numFmtId="0" fontId="0" fillId="0" borderId="15" xfId="0" applyBorder="1" applyAlignment="1">
      <alignment horizontal="right" wrapText="1" indent="1"/>
    </xf>
    <xf numFmtId="0" fontId="7" fillId="6" borderId="2" xfId="0" applyFont="1" applyFill="1" applyBorder="1" applyAlignment="1">
      <alignment horizontal="left" vertical="center" wrapText="1" indent="1"/>
    </xf>
    <xf numFmtId="0" fontId="0" fillId="0" borderId="5" xfId="0" applyBorder="1" applyAlignment="1">
      <alignment horizontal="left" vertical="center" wrapText="1" indent="1"/>
    </xf>
    <xf numFmtId="0" fontId="0" fillId="0" borderId="7" xfId="0" applyBorder="1" applyAlignment="1">
      <alignment horizontal="left" vertical="center" wrapText="1" indent="1"/>
    </xf>
    <xf numFmtId="7" fontId="18" fillId="0" borderId="12" xfId="3" applyNumberFormat="1" applyFont="1" applyBorder="1" applyAlignment="1">
      <alignment horizontal="center" vertical="center" wrapText="1"/>
    </xf>
    <xf numFmtId="0" fontId="0" fillId="0" borderId="15" xfId="0" applyBorder="1" applyAlignment="1">
      <alignment horizontal="center" vertical="center" wrapText="1"/>
    </xf>
    <xf numFmtId="0" fontId="5" fillId="7" borderId="11" xfId="0" applyFont="1" applyFill="1" applyBorder="1" applyAlignment="1">
      <alignment horizontal="center"/>
    </xf>
    <xf numFmtId="0" fontId="5" fillId="7" borderId="9" xfId="0" applyFont="1" applyFill="1" applyBorder="1" applyAlignment="1">
      <alignment horizontal="center"/>
    </xf>
    <xf numFmtId="0" fontId="5" fillId="7" borderId="10" xfId="0" applyFont="1" applyFill="1" applyBorder="1" applyAlignment="1">
      <alignment horizontal="center"/>
    </xf>
    <xf numFmtId="0" fontId="7" fillId="0" borderId="12" xfId="0" applyFont="1" applyBorder="1" applyAlignment="1">
      <alignment horizontal="right" wrapText="1"/>
    </xf>
    <xf numFmtId="0" fontId="0" fillId="0" borderId="18" xfId="0" applyBorder="1" applyAlignment="1">
      <alignment horizontal="right" wrapText="1"/>
    </xf>
    <xf numFmtId="0" fontId="0" fillId="0" borderId="15" xfId="0" applyBorder="1" applyAlignment="1">
      <alignment horizontal="right" wrapText="1"/>
    </xf>
    <xf numFmtId="0" fontId="0" fillId="0" borderId="0" xfId="0" applyBorder="1" applyAlignment="1">
      <alignment horizontal="left" vertical="center" wrapText="1" indent="1"/>
    </xf>
    <xf numFmtId="0" fontId="0" fillId="0" borderId="6" xfId="0" applyBorder="1" applyAlignment="1">
      <alignment horizontal="left" vertical="center" wrapText="1" indent="1"/>
    </xf>
    <xf numFmtId="0" fontId="60" fillId="7" borderId="2" xfId="0" applyFont="1" applyFill="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16" xfId="0" applyBorder="1" applyAlignment="1">
      <alignment horizontal="left" vertical="center" wrapText="1"/>
    </xf>
    <xf numFmtId="0" fontId="0" fillId="0" borderId="0" xfId="0" applyBorder="1" applyAlignment="1">
      <alignment horizontal="left" vertical="center" wrapText="1"/>
    </xf>
    <xf numFmtId="0" fontId="0" fillId="0" borderId="1" xfId="0" applyBorder="1" applyAlignment="1">
      <alignment horizontal="lef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7" fillId="0" borderId="0" xfId="0" applyFont="1" applyAlignment="1">
      <alignment horizontal="right" wrapText="1"/>
    </xf>
    <xf numFmtId="0" fontId="3" fillId="3" borderId="8" xfId="0" applyFont="1" applyFill="1" applyBorder="1" applyAlignment="1">
      <alignment horizontal="right" vertical="center" wrapText="1"/>
    </xf>
    <xf numFmtId="0" fontId="3" fillId="3" borderId="12" xfId="0" applyFont="1" applyFill="1" applyBorder="1" applyAlignment="1">
      <alignment horizontal="right" vertical="center" wrapText="1"/>
    </xf>
    <xf numFmtId="0" fontId="3" fillId="3" borderId="18" xfId="0" applyFont="1" applyFill="1" applyBorder="1" applyAlignment="1">
      <alignment horizontal="right" vertical="center" wrapText="1"/>
    </xf>
    <xf numFmtId="0" fontId="3" fillId="3" borderId="15" xfId="0" applyFont="1" applyFill="1" applyBorder="1" applyAlignment="1">
      <alignment horizontal="right" vertical="center" wrapText="1"/>
    </xf>
    <xf numFmtId="0" fontId="3" fillId="3" borderId="4" xfId="0" applyFont="1" applyFill="1" applyBorder="1" applyAlignment="1">
      <alignment horizontal="right" vertical="center" wrapText="1"/>
    </xf>
    <xf numFmtId="0" fontId="3" fillId="3" borderId="1" xfId="0" applyFont="1" applyFill="1" applyBorder="1" applyAlignment="1">
      <alignment horizontal="right" vertical="center" wrapText="1"/>
    </xf>
    <xf numFmtId="0" fontId="3" fillId="3" borderId="7" xfId="0" applyFont="1" applyFill="1" applyBorder="1" applyAlignment="1">
      <alignment horizontal="right" vertical="center" wrapText="1"/>
    </xf>
    <xf numFmtId="0" fontId="6" fillId="0" borderId="0" xfId="0" applyFont="1" applyAlignment="1">
      <alignment horizontal="left" vertical="center" wrapText="1" indent="2"/>
    </xf>
    <xf numFmtId="0" fontId="3" fillId="15" borderId="4" xfId="0" applyFont="1" applyFill="1" applyBorder="1" applyAlignment="1">
      <alignment wrapText="1"/>
    </xf>
    <xf numFmtId="0" fontId="0" fillId="15" borderId="7" xfId="0" applyFill="1" applyBorder="1" applyAlignment="1">
      <alignment wrapText="1"/>
    </xf>
    <xf numFmtId="0" fontId="3" fillId="0" borderId="0" xfId="0" quotePrefix="1" applyFont="1" applyAlignment="1">
      <alignment horizontal="left" vertical="center" wrapText="1" indent="1"/>
    </xf>
    <xf numFmtId="0" fontId="1" fillId="0" borderId="0" xfId="0" applyFont="1" applyAlignment="1">
      <alignment vertical="center" wrapText="1"/>
    </xf>
    <xf numFmtId="0" fontId="0" fillId="0" borderId="0" xfId="0" applyAlignment="1">
      <alignment vertical="center" wrapText="1"/>
    </xf>
    <xf numFmtId="1" fontId="1" fillId="0" borderId="5" xfId="0" applyNumberFormat="1" applyFont="1" applyBorder="1" applyAlignment="1">
      <alignment horizontal="center"/>
    </xf>
    <xf numFmtId="1" fontId="1" fillId="0" borderId="6" xfId="0" applyNumberFormat="1" applyFont="1" applyBorder="1" applyAlignment="1">
      <alignment horizontal="center"/>
    </xf>
    <xf numFmtId="1" fontId="1" fillId="0" borderId="7" xfId="0" applyNumberFormat="1" applyFont="1" applyBorder="1" applyAlignment="1">
      <alignment horizontal="center"/>
    </xf>
    <xf numFmtId="0" fontId="6" fillId="0" borderId="0" xfId="0" applyFont="1" applyAlignment="1">
      <alignment horizontal="left" vertical="center" wrapText="1" indent="1"/>
    </xf>
    <xf numFmtId="165" fontId="3" fillId="20" borderId="2" xfId="1" applyNumberFormat="1" applyFont="1" applyFill="1" applyBorder="1" applyAlignment="1">
      <alignment horizontal="left" vertical="center" wrapText="1" indent="1"/>
    </xf>
    <xf numFmtId="165" fontId="3" fillId="20" borderId="4" xfId="1" applyNumberFormat="1" applyFont="1" applyFill="1" applyBorder="1" applyAlignment="1">
      <alignment horizontal="left" vertical="center" wrapText="1" indent="1"/>
    </xf>
    <xf numFmtId="165" fontId="3" fillId="20" borderId="16" xfId="1" applyNumberFormat="1" applyFont="1" applyFill="1" applyBorder="1" applyAlignment="1">
      <alignment horizontal="left" vertical="center" wrapText="1" indent="1"/>
    </xf>
    <xf numFmtId="165" fontId="3" fillId="20" borderId="1" xfId="1" applyNumberFormat="1" applyFont="1" applyFill="1" applyBorder="1" applyAlignment="1">
      <alignment horizontal="left" vertical="center" wrapText="1" indent="1"/>
    </xf>
    <xf numFmtId="165" fontId="3" fillId="20" borderId="5" xfId="1" applyNumberFormat="1" applyFont="1" applyFill="1" applyBorder="1" applyAlignment="1">
      <alignment horizontal="left" vertical="center" wrapText="1" indent="1"/>
    </xf>
    <xf numFmtId="165" fontId="3" fillId="20" borderId="7" xfId="1" applyNumberFormat="1" applyFont="1" applyFill="1" applyBorder="1" applyAlignment="1">
      <alignment horizontal="left" vertical="center" wrapText="1" indent="1"/>
    </xf>
    <xf numFmtId="0" fontId="3" fillId="0" borderId="12" xfId="0" applyFont="1" applyBorder="1" applyAlignment="1">
      <alignment horizontal="right" vertical="center" wrapText="1"/>
    </xf>
    <xf numFmtId="0" fontId="3" fillId="0" borderId="18" xfId="0" applyFont="1" applyBorder="1" applyAlignment="1">
      <alignment horizontal="right" vertical="center" wrapText="1"/>
    </xf>
    <xf numFmtId="0" fontId="3" fillId="0" borderId="15" xfId="0" applyFont="1" applyBorder="1" applyAlignment="1">
      <alignment horizontal="right" vertical="center" wrapText="1"/>
    </xf>
    <xf numFmtId="169" fontId="2" fillId="22" borderId="3" xfId="0" applyNumberFormat="1" applyFont="1" applyFill="1" applyBorder="1" applyAlignment="1">
      <alignment horizontal="center"/>
    </xf>
    <xf numFmtId="0" fontId="7" fillId="0" borderId="0" xfId="0" applyFont="1" applyAlignment="1">
      <alignment horizontal="left" vertical="center" wrapText="1" indent="1"/>
    </xf>
    <xf numFmtId="0" fontId="0" fillId="3" borderId="8" xfId="0" applyFill="1" applyBorder="1" applyAlignment="1">
      <alignment horizontal="right" vertical="center" wrapText="1"/>
    </xf>
    <xf numFmtId="169" fontId="7" fillId="22" borderId="0" xfId="0" applyNumberFormat="1" applyFont="1" applyFill="1" applyBorder="1" applyAlignment="1">
      <alignment horizontal="center"/>
    </xf>
    <xf numFmtId="169" fontId="7" fillId="22" borderId="0" xfId="0" applyNumberFormat="1" applyFont="1" applyFill="1" applyAlignment="1">
      <alignment horizontal="center"/>
    </xf>
    <xf numFmtId="169" fontId="3" fillId="28" borderId="12" xfId="7" applyNumberFormat="1" applyFont="1" applyFill="1" applyBorder="1" applyAlignment="1">
      <alignment horizontal="right" vertical="center" wrapText="1"/>
    </xf>
    <xf numFmtId="169" fontId="3" fillId="28" borderId="18" xfId="7" applyNumberFormat="1" applyFont="1" applyFill="1" applyBorder="1" applyAlignment="1">
      <alignment horizontal="right" vertical="center" wrapText="1"/>
    </xf>
    <xf numFmtId="169" fontId="3" fillId="28" borderId="15" xfId="7" applyNumberFormat="1" applyFont="1" applyFill="1" applyBorder="1" applyAlignment="1">
      <alignment horizontal="right" vertical="center" wrapText="1"/>
    </xf>
    <xf numFmtId="0" fontId="3" fillId="8" borderId="2" xfId="0" applyFont="1" applyFill="1" applyBorder="1" applyAlignment="1">
      <alignment horizontal="left" vertical="center" wrapText="1" indent="1"/>
    </xf>
    <xf numFmtId="168" fontId="18" fillId="0" borderId="21" xfId="0" applyNumberFormat="1" applyFont="1" applyFill="1" applyBorder="1" applyAlignment="1">
      <alignment horizontal="center" vertical="center" wrapText="1"/>
    </xf>
    <xf numFmtId="0" fontId="0" fillId="0" borderId="23" xfId="0" applyFill="1" applyBorder="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7" fillId="0" borderId="2" xfId="0" applyFont="1" applyBorder="1" applyAlignment="1">
      <alignment horizontal="left" vertical="center" wrapText="1" indent="1"/>
    </xf>
    <xf numFmtId="0" fontId="7" fillId="0" borderId="4" xfId="0" applyFont="1" applyBorder="1" applyAlignment="1">
      <alignment horizontal="left" vertical="center" wrapText="1" indent="1"/>
    </xf>
    <xf numFmtId="0" fontId="7" fillId="0" borderId="16" xfId="0" applyFont="1" applyBorder="1" applyAlignment="1">
      <alignment horizontal="left" vertical="center" wrapText="1" indent="1"/>
    </xf>
    <xf numFmtId="0" fontId="7" fillId="0" borderId="1" xfId="0" applyFont="1" applyBorder="1" applyAlignment="1">
      <alignment horizontal="left" vertical="center" wrapText="1" indent="1"/>
    </xf>
    <xf numFmtId="0" fontId="7" fillId="0" borderId="5" xfId="0" applyFont="1" applyBorder="1" applyAlignment="1">
      <alignment horizontal="left" vertical="center" wrapText="1" indent="1"/>
    </xf>
    <xf numFmtId="0" fontId="7" fillId="0" borderId="7" xfId="0" applyFont="1" applyBorder="1" applyAlignment="1">
      <alignment horizontal="left" vertical="center" wrapText="1" indent="1"/>
    </xf>
    <xf numFmtId="0" fontId="2" fillId="0" borderId="0" xfId="0" applyFont="1" applyAlignment="1">
      <alignment horizontal="center"/>
    </xf>
    <xf numFmtId="0" fontId="3" fillId="5" borderId="4" xfId="0" applyFont="1" applyFill="1" applyBorder="1" applyAlignment="1">
      <alignment horizontal="right" vertical="center" wrapText="1"/>
    </xf>
    <xf numFmtId="0" fontId="0" fillId="5" borderId="1" xfId="0" applyFill="1" applyBorder="1" applyAlignment="1">
      <alignment horizontal="right" vertical="center" wrapText="1"/>
    </xf>
    <xf numFmtId="0" fontId="0" fillId="5" borderId="7" xfId="0" applyFill="1" applyBorder="1" applyAlignment="1">
      <alignment horizontal="right" vertical="center" wrapText="1"/>
    </xf>
    <xf numFmtId="0" fontId="5" fillId="8" borderId="2" xfId="0" applyFont="1" applyFill="1" applyBorder="1" applyAlignment="1">
      <alignment horizontal="left" vertical="center" wrapText="1" indent="1"/>
    </xf>
    <xf numFmtId="0" fontId="0" fillId="8" borderId="3" xfId="0" applyFill="1" applyBorder="1" applyAlignment="1">
      <alignment horizontal="left" vertical="center" wrapText="1" indent="1"/>
    </xf>
    <xf numFmtId="0" fontId="0" fillId="8" borderId="4" xfId="0" applyFill="1" applyBorder="1" applyAlignment="1">
      <alignment horizontal="left" vertical="center" wrapText="1" indent="1"/>
    </xf>
    <xf numFmtId="0" fontId="0" fillId="8" borderId="16" xfId="0" applyFill="1" applyBorder="1" applyAlignment="1">
      <alignment horizontal="left" vertical="center" wrapText="1" indent="1"/>
    </xf>
    <xf numFmtId="0" fontId="0" fillId="8" borderId="0" xfId="0" applyFill="1" applyBorder="1" applyAlignment="1">
      <alignment horizontal="left" vertical="center" wrapText="1" indent="1"/>
    </xf>
    <xf numFmtId="0" fontId="0" fillId="8" borderId="1" xfId="0" applyFill="1" applyBorder="1" applyAlignment="1">
      <alignment horizontal="left" vertical="center" wrapText="1" indent="1"/>
    </xf>
    <xf numFmtId="0" fontId="0" fillId="8" borderId="6" xfId="0" applyFill="1" applyBorder="1" applyAlignment="1">
      <alignment horizontal="left" vertical="center" wrapText="1" indent="1"/>
    </xf>
    <xf numFmtId="0" fontId="0" fillId="8" borderId="7" xfId="0" applyFill="1" applyBorder="1" applyAlignment="1">
      <alignment horizontal="left" vertical="center" wrapText="1" indent="1"/>
    </xf>
    <xf numFmtId="0" fontId="3" fillId="0" borderId="2" xfId="0" applyFont="1" applyBorder="1" applyAlignment="1">
      <alignment horizontal="left" vertical="center" wrapText="1" indent="1"/>
    </xf>
    <xf numFmtId="9" fontId="18" fillId="0" borderId="19" xfId="0" applyNumberFormat="1" applyFont="1" applyBorder="1" applyAlignment="1">
      <alignment horizontal="right" vertical="center" wrapText="1" indent="2"/>
    </xf>
    <xf numFmtId="0" fontId="0" fillId="0" borderId="20" xfId="0" applyBorder="1" applyAlignment="1">
      <alignment horizontal="right" vertical="center" wrapText="1" indent="2"/>
    </xf>
    <xf numFmtId="0" fontId="0" fillId="0" borderId="27" xfId="0" applyBorder="1" applyAlignment="1">
      <alignment horizontal="right" vertical="center" wrapText="1" indent="2"/>
    </xf>
    <xf numFmtId="0" fontId="0" fillId="0" borderId="22" xfId="0" applyBorder="1" applyAlignment="1">
      <alignment horizontal="right" vertical="center" wrapText="1" indent="2"/>
    </xf>
    <xf numFmtId="0" fontId="0" fillId="0" borderId="0" xfId="0" applyBorder="1" applyAlignment="1">
      <alignment horizontal="right" vertical="center" wrapText="1" indent="2"/>
    </xf>
    <xf numFmtId="0" fontId="0" fillId="0" borderId="1" xfId="0" applyBorder="1" applyAlignment="1">
      <alignment horizontal="right" vertical="center" wrapText="1" indent="2"/>
    </xf>
    <xf numFmtId="0" fontId="7" fillId="26" borderId="16" xfId="0" applyFont="1" applyFill="1" applyBorder="1" applyAlignment="1">
      <alignment horizontal="left" vertical="top" wrapText="1" indent="1"/>
    </xf>
    <xf numFmtId="0" fontId="5" fillId="26" borderId="0" xfId="0" applyFont="1" applyFill="1" applyBorder="1" applyAlignment="1">
      <alignment horizontal="left" vertical="top" wrapText="1" indent="1"/>
    </xf>
    <xf numFmtId="0" fontId="5" fillId="26" borderId="1" xfId="0" applyFont="1" applyFill="1" applyBorder="1" applyAlignment="1">
      <alignment horizontal="left" vertical="top" wrapText="1" indent="1"/>
    </xf>
    <xf numFmtId="0" fontId="5" fillId="26" borderId="5" xfId="0" applyFont="1" applyFill="1" applyBorder="1" applyAlignment="1">
      <alignment horizontal="left" vertical="top" wrapText="1" indent="1"/>
    </xf>
    <xf numFmtId="0" fontId="5" fillId="26" borderId="6" xfId="0" applyFont="1" applyFill="1" applyBorder="1" applyAlignment="1">
      <alignment horizontal="left" vertical="top" wrapText="1" indent="1"/>
    </xf>
    <xf numFmtId="0" fontId="5" fillId="26" borderId="7" xfId="0" applyFont="1" applyFill="1" applyBorder="1" applyAlignment="1">
      <alignment horizontal="left" vertical="top" wrapText="1" indent="1"/>
    </xf>
    <xf numFmtId="0" fontId="3" fillId="30" borderId="2" xfId="0" applyFont="1" applyFill="1" applyBorder="1" applyAlignment="1">
      <alignment horizontal="center" vertical="center" wrapText="1"/>
    </xf>
    <xf numFmtId="0" fontId="3" fillId="30" borderId="4" xfId="0" applyFont="1" applyFill="1" applyBorder="1" applyAlignment="1">
      <alignment horizontal="center" vertical="center" wrapText="1"/>
    </xf>
    <xf numFmtId="0" fontId="3" fillId="30" borderId="16" xfId="0" applyFont="1" applyFill="1" applyBorder="1" applyAlignment="1">
      <alignment horizontal="center" vertical="center" wrapText="1"/>
    </xf>
    <xf numFmtId="0" fontId="3" fillId="30" borderId="1" xfId="0" applyFont="1" applyFill="1" applyBorder="1" applyAlignment="1">
      <alignment horizontal="center" vertical="center" wrapText="1"/>
    </xf>
    <xf numFmtId="0" fontId="3" fillId="30" borderId="5" xfId="0" applyFont="1" applyFill="1" applyBorder="1" applyAlignment="1">
      <alignment horizontal="center" vertical="center" wrapText="1"/>
    </xf>
    <xf numFmtId="0" fontId="3" fillId="30" borderId="7" xfId="0" applyFont="1" applyFill="1" applyBorder="1" applyAlignment="1">
      <alignment horizontal="center" vertical="center" wrapText="1"/>
    </xf>
    <xf numFmtId="169" fontId="7" fillId="23" borderId="0" xfId="0" applyNumberFormat="1" applyFont="1" applyFill="1" applyBorder="1" applyAlignment="1">
      <alignment horizontal="center"/>
    </xf>
    <xf numFmtId="169" fontId="7" fillId="23" borderId="0" xfId="0" applyNumberFormat="1" applyFont="1" applyFill="1" applyAlignment="1">
      <alignment horizontal="center"/>
    </xf>
    <xf numFmtId="169" fontId="7" fillId="24" borderId="0" xfId="0" applyNumberFormat="1" applyFont="1" applyFill="1" applyBorder="1" applyAlignment="1">
      <alignment horizontal="center"/>
    </xf>
    <xf numFmtId="169" fontId="7" fillId="24" borderId="0" xfId="0" applyNumberFormat="1" applyFont="1" applyFill="1" applyAlignment="1">
      <alignment horizontal="center"/>
    </xf>
    <xf numFmtId="169" fontId="7" fillId="25" borderId="0" xfId="0" applyNumberFormat="1" applyFont="1" applyFill="1" applyBorder="1" applyAlignment="1">
      <alignment horizontal="center"/>
    </xf>
    <xf numFmtId="169" fontId="7" fillId="25" borderId="0" xfId="0" applyNumberFormat="1" applyFont="1" applyFill="1" applyAlignment="1">
      <alignment horizontal="center"/>
    </xf>
    <xf numFmtId="3" fontId="2" fillId="23" borderId="0" xfId="0" applyNumberFormat="1" applyFont="1" applyFill="1" applyBorder="1" applyAlignment="1">
      <alignment horizontal="center"/>
    </xf>
    <xf numFmtId="3" fontId="2" fillId="23" borderId="0" xfId="0" applyNumberFormat="1" applyFont="1" applyFill="1" applyAlignment="1">
      <alignment horizontal="center"/>
    </xf>
    <xf numFmtId="0" fontId="2" fillId="24" borderId="0" xfId="0" applyFont="1" applyFill="1" applyAlignment="1">
      <alignment horizontal="center"/>
    </xf>
    <xf numFmtId="0" fontId="2" fillId="25" borderId="0" xfId="0" applyFont="1" applyFill="1" applyAlignment="1">
      <alignment horizontal="center"/>
    </xf>
    <xf numFmtId="9" fontId="3" fillId="0" borderId="0" xfId="0" applyNumberFormat="1" applyFont="1" applyBorder="1" applyAlignment="1">
      <alignment horizontal="left" vertical="center" wrapText="1" indent="1"/>
    </xf>
    <xf numFmtId="0" fontId="0" fillId="5" borderId="18" xfId="0" applyFill="1" applyBorder="1" applyAlignment="1">
      <alignment horizontal="right" vertical="center" wrapText="1"/>
    </xf>
    <xf numFmtId="0" fontId="0" fillId="5" borderId="15" xfId="0" applyFill="1" applyBorder="1" applyAlignment="1">
      <alignment horizontal="right" vertical="center" wrapText="1"/>
    </xf>
    <xf numFmtId="0" fontId="6" fillId="0" borderId="2" xfId="0" applyFont="1" applyBorder="1" applyAlignment="1">
      <alignment horizontal="left" vertical="center" wrapText="1" indent="1"/>
    </xf>
    <xf numFmtId="0" fontId="61" fillId="7" borderId="12" xfId="0" applyFont="1" applyFill="1" applyBorder="1" applyAlignment="1">
      <alignment vertical="center" wrapText="1"/>
    </xf>
    <xf numFmtId="0" fontId="54" fillId="7" borderId="18" xfId="0" applyFont="1" applyFill="1" applyBorder="1" applyAlignment="1">
      <alignment vertical="center" wrapText="1"/>
    </xf>
    <xf numFmtId="0" fontId="54" fillId="7" borderId="15" xfId="0" applyFont="1" applyFill="1" applyBorder="1" applyAlignment="1">
      <alignment vertical="center" wrapText="1"/>
    </xf>
    <xf numFmtId="0" fontId="5" fillId="0" borderId="4" xfId="0" applyFont="1" applyBorder="1" applyAlignment="1">
      <alignment horizontal="left" vertical="center" wrapText="1" indent="1"/>
    </xf>
    <xf numFmtId="0" fontId="5" fillId="0" borderId="16" xfId="0" applyFont="1" applyBorder="1" applyAlignment="1">
      <alignment horizontal="left" vertical="center" wrapText="1" indent="1"/>
    </xf>
    <xf numFmtId="0" fontId="5" fillId="0" borderId="1"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7" xfId="0" applyFont="1" applyBorder="1" applyAlignment="1">
      <alignment horizontal="left" vertical="center" wrapText="1" indent="1"/>
    </xf>
    <xf numFmtId="0" fontId="0" fillId="3" borderId="18" xfId="0" applyFill="1" applyBorder="1" applyAlignment="1">
      <alignment horizontal="right" vertical="center" wrapText="1"/>
    </xf>
    <xf numFmtId="0" fontId="0" fillId="3" borderId="15" xfId="0" applyFill="1" applyBorder="1" applyAlignment="1">
      <alignment horizontal="right" vertical="center" wrapText="1"/>
    </xf>
    <xf numFmtId="0" fontId="7" fillId="0" borderId="0" xfId="0" applyFont="1" applyAlignment="1">
      <alignment horizontal="center"/>
    </xf>
    <xf numFmtId="0" fontId="7" fillId="0" borderId="1" xfId="0" applyFont="1" applyBorder="1" applyAlignment="1">
      <alignment horizontal="center"/>
    </xf>
    <xf numFmtId="168" fontId="0" fillId="0" borderId="11" xfId="0" applyNumberForma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3" fillId="0" borderId="0" xfId="0" applyFont="1" applyBorder="1" applyAlignment="1">
      <alignment horizontal="left" vertical="center" wrapText="1" indent="1"/>
    </xf>
    <xf numFmtId="0" fontId="5" fillId="0" borderId="0" xfId="0" applyFont="1" applyAlignment="1">
      <alignment horizontal="center"/>
    </xf>
    <xf numFmtId="182" fontId="3" fillId="12" borderId="18" xfId="0" applyNumberFormat="1" applyFont="1" applyFill="1" applyBorder="1" applyAlignment="1">
      <alignment horizontal="right" vertical="center" wrapText="1"/>
    </xf>
    <xf numFmtId="0" fontId="0" fillId="12" borderId="18" xfId="0" applyFill="1" applyBorder="1" applyAlignment="1">
      <alignment horizontal="right" vertical="center" wrapText="1"/>
    </xf>
    <xf numFmtId="0" fontId="0" fillId="12" borderId="15" xfId="0" applyFill="1" applyBorder="1" applyAlignment="1">
      <alignment horizontal="right" vertical="center" wrapText="1"/>
    </xf>
    <xf numFmtId="0" fontId="3" fillId="16" borderId="8" xfId="0" applyFont="1" applyFill="1" applyBorder="1" applyAlignment="1">
      <alignment horizontal="right" vertical="center" wrapText="1"/>
    </xf>
    <xf numFmtId="0" fontId="0" fillId="16" borderId="8" xfId="0" applyFill="1" applyBorder="1" applyAlignment="1">
      <alignment horizontal="right" vertical="center" wrapText="1"/>
    </xf>
    <xf numFmtId="0" fontId="0" fillId="0" borderId="0" xfId="0" applyAlignment="1">
      <alignment horizontal="right" wrapText="1"/>
    </xf>
    <xf numFmtId="2" fontId="0" fillId="0" borderId="0" xfId="0" applyNumberFormat="1" applyAlignment="1">
      <alignment horizontal="center" wrapText="1"/>
    </xf>
    <xf numFmtId="0" fontId="6" fillId="15" borderId="5" xfId="0" applyFont="1" applyFill="1" applyBorder="1" applyAlignment="1">
      <alignment horizontal="center"/>
    </xf>
    <xf numFmtId="0" fontId="6" fillId="15" borderId="6" xfId="0" applyFont="1" applyFill="1" applyBorder="1" applyAlignment="1">
      <alignment horizontal="center"/>
    </xf>
    <xf numFmtId="0" fontId="6" fillId="15" borderId="7" xfId="0" applyFont="1" applyFill="1" applyBorder="1" applyAlignment="1">
      <alignment horizontal="center"/>
    </xf>
    <xf numFmtId="0" fontId="3" fillId="0" borderId="12" xfId="0" applyFont="1" applyBorder="1" applyAlignment="1">
      <alignment horizontal="left" vertical="center" wrapText="1" indent="1"/>
    </xf>
    <xf numFmtId="0" fontId="0" fillId="0" borderId="18" xfId="0" applyBorder="1" applyAlignment="1">
      <alignment horizontal="left" vertical="center" wrapText="1" indent="1"/>
    </xf>
    <xf numFmtId="0" fontId="0" fillId="0" borderId="15" xfId="0" applyBorder="1" applyAlignment="1">
      <alignment horizontal="left" vertical="center" wrapText="1" indent="1"/>
    </xf>
    <xf numFmtId="0" fontId="0" fillId="0" borderId="11" xfId="0" applyBorder="1" applyAlignment="1">
      <alignment horizontal="center"/>
    </xf>
    <xf numFmtId="0" fontId="3" fillId="10" borderId="12" xfId="0" applyFont="1" applyFill="1" applyBorder="1" applyAlignment="1">
      <alignment horizontal="right" vertical="center" wrapText="1"/>
    </xf>
    <xf numFmtId="0" fontId="0" fillId="10" borderId="18" xfId="0" applyFill="1" applyBorder="1" applyAlignment="1">
      <alignment horizontal="right" vertical="center" wrapText="1"/>
    </xf>
    <xf numFmtId="0" fontId="0" fillId="10" borderId="15" xfId="0" applyFill="1" applyBorder="1" applyAlignment="1">
      <alignment horizontal="right" vertical="center" wrapText="1"/>
    </xf>
    <xf numFmtId="0" fontId="3" fillId="0" borderId="12" xfId="0" applyFont="1" applyBorder="1" applyAlignment="1">
      <alignment horizontal="center" vertical="center" wrapText="1"/>
    </xf>
    <xf numFmtId="0" fontId="3" fillId="20" borderId="12" xfId="0" applyFont="1" applyFill="1" applyBorder="1" applyAlignment="1">
      <alignment horizontal="right" vertical="center" wrapText="1"/>
    </xf>
    <xf numFmtId="0" fontId="0" fillId="20" borderId="18" xfId="0" applyFill="1" applyBorder="1" applyAlignment="1">
      <alignment horizontal="right" vertical="center" wrapText="1"/>
    </xf>
    <xf numFmtId="0" fontId="0" fillId="20" borderId="15" xfId="0" applyFill="1" applyBorder="1" applyAlignment="1">
      <alignment horizontal="right" vertical="center" wrapText="1"/>
    </xf>
    <xf numFmtId="0" fontId="6" fillId="17" borderId="2" xfId="0" applyFont="1" applyFill="1" applyBorder="1" applyAlignment="1">
      <alignment horizontal="center"/>
    </xf>
    <xf numFmtId="0" fontId="6" fillId="17" borderId="3" xfId="0" applyFont="1" applyFill="1" applyBorder="1" applyAlignment="1">
      <alignment horizontal="center"/>
    </xf>
    <xf numFmtId="0" fontId="6" fillId="17" borderId="4" xfId="0" applyFont="1" applyFill="1" applyBorder="1" applyAlignment="1">
      <alignment horizontal="center"/>
    </xf>
    <xf numFmtId="0" fontId="3" fillId="14" borderId="12" xfId="0" applyFont="1" applyFill="1" applyBorder="1" applyAlignment="1">
      <alignment horizontal="right" vertical="center" wrapText="1"/>
    </xf>
    <xf numFmtId="0" fontId="0" fillId="0" borderId="15" xfId="0" applyBorder="1" applyAlignment="1">
      <alignment horizontal="right" vertical="center" wrapText="1"/>
    </xf>
    <xf numFmtId="14" fontId="0" fillId="0" borderId="0" xfId="0" applyNumberFormat="1" applyAlignment="1">
      <alignment vertical="center" wrapText="1"/>
    </xf>
    <xf numFmtId="0" fontId="3" fillId="0" borderId="0" xfId="0" applyFont="1" applyAlignment="1">
      <alignment horizontal="right" vertical="center" wrapText="1" indent="1"/>
    </xf>
    <xf numFmtId="0" fontId="0" fillId="0" borderId="0" xfId="0" applyAlignment="1">
      <alignment horizontal="right" vertical="center" wrapText="1"/>
    </xf>
    <xf numFmtId="167" fontId="7" fillId="0" borderId="0" xfId="1" applyNumberFormat="1" applyFont="1" applyBorder="1" applyAlignment="1">
      <alignment horizontal="center"/>
    </xf>
    <xf numFmtId="0" fontId="0" fillId="0" borderId="18" xfId="0" applyBorder="1" applyAlignment="1">
      <alignment horizontal="right" vertical="center" wrapText="1"/>
    </xf>
    <xf numFmtId="0" fontId="6" fillId="28" borderId="2" xfId="0" applyFont="1" applyFill="1" applyBorder="1" applyAlignment="1">
      <alignment vertical="center" wrapText="1"/>
    </xf>
    <xf numFmtId="0" fontId="0" fillId="28" borderId="3" xfId="0" applyFill="1" applyBorder="1" applyAlignment="1">
      <alignment vertical="center" wrapText="1"/>
    </xf>
    <xf numFmtId="0" fontId="0" fillId="28" borderId="4" xfId="0" applyFill="1" applyBorder="1" applyAlignment="1">
      <alignment vertical="center" wrapText="1"/>
    </xf>
    <xf numFmtId="0" fontId="0" fillId="28" borderId="16" xfId="0" applyFill="1" applyBorder="1" applyAlignment="1">
      <alignment vertical="center" wrapText="1"/>
    </xf>
    <xf numFmtId="0" fontId="0" fillId="28" borderId="0" xfId="0" applyFill="1" applyBorder="1" applyAlignment="1">
      <alignment vertical="center" wrapText="1"/>
    </xf>
    <xf numFmtId="0" fontId="0" fillId="28" borderId="1" xfId="0" applyFill="1" applyBorder="1" applyAlignment="1">
      <alignment vertical="center" wrapText="1"/>
    </xf>
    <xf numFmtId="0" fontId="3" fillId="0" borderId="0" xfId="0" applyFont="1" applyAlignment="1">
      <alignment vertical="center" wrapText="1"/>
    </xf>
    <xf numFmtId="0" fontId="3" fillId="0" borderId="0" xfId="0" applyFont="1" applyAlignment="1">
      <alignment horizontal="center" wrapText="1"/>
    </xf>
    <xf numFmtId="0" fontId="25" fillId="0" borderId="0" xfId="0" applyFont="1" applyAlignment="1">
      <alignment horizontal="center" wrapText="1"/>
    </xf>
    <xf numFmtId="0" fontId="3" fillId="0" borderId="0" xfId="0" applyFont="1" applyAlignment="1">
      <alignment horizontal="left" wrapText="1" indent="1"/>
    </xf>
    <xf numFmtId="0" fontId="0" fillId="0" borderId="0" xfId="0" applyAlignment="1">
      <alignment horizontal="left" wrapText="1" indent="1"/>
    </xf>
    <xf numFmtId="0" fontId="3" fillId="0" borderId="0" xfId="0" applyFont="1" applyAlignment="1">
      <alignment horizontal="right" wrapText="1"/>
    </xf>
    <xf numFmtId="0" fontId="7" fillId="0" borderId="0" xfId="0" quotePrefix="1" applyFont="1" applyAlignment="1">
      <alignment horizontal="right" wrapText="1"/>
    </xf>
    <xf numFmtId="0" fontId="0" fillId="0" borderId="0" xfId="0" applyAlignment="1">
      <alignment horizontal="left" wrapText="1"/>
    </xf>
    <xf numFmtId="0" fontId="3" fillId="17" borderId="16" xfId="0" applyFont="1" applyFill="1" applyBorder="1" applyAlignment="1">
      <alignment vertical="center" wrapText="1"/>
    </xf>
    <xf numFmtId="0" fontId="0" fillId="17" borderId="0" xfId="0" applyFill="1" applyBorder="1" applyAlignment="1">
      <alignment vertical="center" wrapText="1"/>
    </xf>
    <xf numFmtId="0" fontId="0" fillId="17" borderId="1" xfId="0" applyFill="1" applyBorder="1" applyAlignment="1">
      <alignment vertical="center" wrapText="1"/>
    </xf>
    <xf numFmtId="0" fontId="0" fillId="17" borderId="16" xfId="0" applyFill="1" applyBorder="1" applyAlignment="1">
      <alignment vertical="center" wrapText="1"/>
    </xf>
    <xf numFmtId="0" fontId="0" fillId="0" borderId="0" xfId="0" applyAlignment="1">
      <alignment wrapText="1"/>
    </xf>
    <xf numFmtId="0" fontId="17" fillId="7" borderId="2" xfId="0" applyFont="1" applyFill="1" applyBorder="1" applyAlignment="1">
      <alignment horizontal="center" vertical="center" wrapText="1"/>
    </xf>
    <xf numFmtId="0" fontId="32" fillId="7" borderId="3" xfId="0" applyFont="1" applyFill="1" applyBorder="1" applyAlignment="1">
      <alignment horizontal="center" vertical="center" wrapText="1"/>
    </xf>
    <xf numFmtId="0" fontId="32" fillId="7" borderId="4" xfId="0" applyFont="1" applyFill="1" applyBorder="1" applyAlignment="1">
      <alignment horizontal="center" vertical="center" wrapText="1"/>
    </xf>
    <xf numFmtId="0" fontId="32" fillId="7" borderId="16" xfId="0" applyFont="1" applyFill="1" applyBorder="1" applyAlignment="1">
      <alignment horizontal="center" vertical="center" wrapText="1"/>
    </xf>
    <xf numFmtId="0" fontId="32" fillId="7" borderId="0" xfId="0" applyFont="1" applyFill="1" applyBorder="1" applyAlignment="1">
      <alignment horizontal="center" vertical="center" wrapText="1"/>
    </xf>
    <xf numFmtId="0" fontId="32" fillId="7" borderId="1" xfId="0" applyFont="1" applyFill="1" applyBorder="1" applyAlignment="1">
      <alignment horizontal="center" vertical="center" wrapText="1"/>
    </xf>
    <xf numFmtId="0" fontId="6" fillId="29" borderId="2" xfId="0" applyNumberFormat="1" applyFont="1" applyFill="1" applyBorder="1" applyAlignment="1">
      <alignment horizontal="left" vertical="center" wrapText="1" indent="1"/>
    </xf>
    <xf numFmtId="0" fontId="6" fillId="29" borderId="3" xfId="0" applyNumberFormat="1" applyFont="1" applyFill="1" applyBorder="1" applyAlignment="1">
      <alignment horizontal="left" vertical="center" wrapText="1" indent="1"/>
    </xf>
    <xf numFmtId="0" fontId="6" fillId="29" borderId="4" xfId="0" applyNumberFormat="1" applyFont="1" applyFill="1" applyBorder="1" applyAlignment="1">
      <alignment horizontal="left" vertical="center" wrapText="1" indent="1"/>
    </xf>
    <xf numFmtId="0" fontId="6" fillId="29" borderId="5" xfId="0" applyNumberFormat="1" applyFont="1" applyFill="1" applyBorder="1" applyAlignment="1">
      <alignment horizontal="left" vertical="center" wrapText="1" indent="1"/>
    </xf>
    <xf numFmtId="0" fontId="6" fillId="29" borderId="6" xfId="0" applyNumberFormat="1" applyFont="1" applyFill="1" applyBorder="1" applyAlignment="1">
      <alignment horizontal="left" vertical="center" wrapText="1" indent="1"/>
    </xf>
    <xf numFmtId="0" fontId="6" fillId="29" borderId="7" xfId="0" applyNumberFormat="1" applyFont="1" applyFill="1" applyBorder="1" applyAlignment="1">
      <alignment horizontal="left" vertical="center" wrapText="1" indent="1"/>
    </xf>
  </cellXfs>
  <cellStyles count="9">
    <cellStyle name="Comma" xfId="1" builtinId="3"/>
    <cellStyle name="Comma 2" xfId="2"/>
    <cellStyle name="Currency" xfId="3" builtinId="4"/>
    <cellStyle name="Currency 2" xfId="4"/>
    <cellStyle name="Hyperlink" xfId="5" builtinId="8"/>
    <cellStyle name="Normal" xfId="0" builtinId="0"/>
    <cellStyle name="Normal 2" xfId="6"/>
    <cellStyle name="Percent" xfId="7" builtinId="5"/>
    <cellStyle name="Percent 2" xfId="8"/>
  </cellStyles>
  <dxfs count="6">
    <dxf>
      <numFmt numFmtId="182" formatCode="&quot;$&quot;#,##0.00"/>
    </dxf>
    <dxf>
      <numFmt numFmtId="169" formatCode="0.0%"/>
    </dxf>
    <dxf>
      <numFmt numFmtId="182" formatCode="&quot;$&quot;#,##0.00"/>
    </dxf>
    <dxf>
      <numFmt numFmtId="169" formatCode="0.0%"/>
    </dxf>
    <dxf>
      <numFmt numFmtId="182" formatCode="&quot;$&quot;#,##0.00"/>
    </dxf>
    <dxf>
      <numFmt numFmtId="169" formatCode="0.0%"/>
    </dxf>
  </dxfs>
  <tableStyles count="0" defaultTableStyle="TableStyleMedium9" defaultPivotStyle="PivotStyleLight16"/>
  <colors>
    <mruColors>
      <color rgb="FFFF99FF"/>
      <color rgb="FFFFCCCC"/>
    </mruColors>
  </colors>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theme" Target="theme/theme1.xml"/><Relationship Id="rId26" Type="http://schemas.openxmlformats.org/officeDocument/2006/relationships/styles" Target="styles.xml"/><Relationship Id="rId27" Type="http://schemas.openxmlformats.org/officeDocument/2006/relationships/sharedStrings" Target="sharedStrings.xml"/><Relationship Id="rId28" Type="http://schemas.openxmlformats.org/officeDocument/2006/relationships/calcChain" Target="calcChain.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image" Target="../media/image2.jpeg"/><Relationship Id="rId2" Type="http://schemas.openxmlformats.org/officeDocument/2006/relationships/chartUserShapes" Target="../drawings/drawing15.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Arial"/>
                <a:ea typeface="Arial"/>
                <a:cs typeface="Arial"/>
              </a:defRPr>
            </a:pPr>
            <a:r>
              <a:rPr lang="en-US" sz="1050" b="1" i="0" u="none" strike="noStrike" baseline="0">
                <a:solidFill>
                  <a:srgbClr val="000000"/>
                </a:solidFill>
                <a:latin typeface="Arial"/>
                <a:cs typeface="Arial"/>
              </a:rPr>
              <a:t>CO2 Emissions with Carbon Tax and without </a:t>
            </a:r>
            <a:endParaRPr lang="en-US" sz="1400" b="1" i="0" u="none" strike="noStrike" baseline="0">
              <a:solidFill>
                <a:srgbClr val="000000"/>
              </a:solidFill>
              <a:latin typeface="Arial"/>
              <a:cs typeface="Arial"/>
            </a:endParaRPr>
          </a:p>
          <a:p>
            <a:pPr>
              <a:defRPr sz="1200" b="0" i="0" u="none" strike="noStrike" baseline="0">
                <a:solidFill>
                  <a:srgbClr val="000000"/>
                </a:solidFill>
                <a:latin typeface="Arial"/>
                <a:ea typeface="Arial"/>
                <a:cs typeface="Arial"/>
              </a:defRPr>
            </a:pPr>
            <a:endParaRPr lang="en-US" sz="1400" b="1" i="0" u="none" strike="noStrike" baseline="0">
              <a:solidFill>
                <a:srgbClr val="000000"/>
              </a:solidFill>
              <a:latin typeface="Arial"/>
              <a:cs typeface="Arial"/>
            </a:endParaRPr>
          </a:p>
        </c:rich>
      </c:tx>
      <c:layout>
        <c:manualLayout>
          <c:xMode val="edge"/>
          <c:yMode val="edge"/>
          <c:x val="0.142654421790705"/>
          <c:y val="0.0590013748281466"/>
        </c:manualLayout>
      </c:layout>
      <c:overlay val="0"/>
      <c:spPr>
        <a:noFill/>
        <a:ln w="25400">
          <a:noFill/>
        </a:ln>
      </c:spPr>
    </c:title>
    <c:autoTitleDeleted val="0"/>
    <c:plotArea>
      <c:layout>
        <c:manualLayout>
          <c:layoutTarget val="inner"/>
          <c:xMode val="edge"/>
          <c:yMode val="edge"/>
          <c:x val="0.227902467621875"/>
          <c:y val="0.252216800364743"/>
          <c:w val="0.721209554236049"/>
          <c:h val="0.626330511502963"/>
        </c:manualLayout>
      </c:layout>
      <c:lineChart>
        <c:grouping val="standard"/>
        <c:varyColors val="0"/>
        <c:ser>
          <c:idx val="0"/>
          <c:order val="0"/>
          <c:tx>
            <c:v>No Carbon Price</c:v>
          </c:tx>
          <c:spPr>
            <a:ln w="12700">
              <a:solidFill>
                <a:srgbClr val="000080"/>
              </a:solidFill>
              <a:prstDash val="solid"/>
            </a:ln>
          </c:spPr>
          <c:marker>
            <c:symbol val="diamond"/>
            <c:size val="5"/>
            <c:spPr>
              <a:solidFill>
                <a:srgbClr val="000080"/>
              </a:solidFill>
              <a:ln>
                <a:solidFill>
                  <a:srgbClr val="000080"/>
                </a:solidFill>
                <a:prstDash val="solid"/>
              </a:ln>
            </c:spPr>
          </c:marker>
          <c:cat>
            <c:numRef>
              <c:f>Graph_CO2!$I$6:$AM$6</c:f>
              <c:numCache>
                <c:formatCode>0</c:formatCode>
                <c:ptCount val="31"/>
                <c:pt idx="0">
                  <c:v>2005.0</c:v>
                </c:pt>
                <c:pt idx="1">
                  <c:v>2006.0</c:v>
                </c:pt>
                <c:pt idx="2">
                  <c:v>2007.0</c:v>
                </c:pt>
                <c:pt idx="3">
                  <c:v>2008.0</c:v>
                </c:pt>
                <c:pt idx="4">
                  <c:v>2009.0</c:v>
                </c:pt>
                <c:pt idx="5">
                  <c:v>2010.0</c:v>
                </c:pt>
                <c:pt idx="6">
                  <c:v>2011.0</c:v>
                </c:pt>
                <c:pt idx="7">
                  <c:v>2012.0</c:v>
                </c:pt>
                <c:pt idx="8">
                  <c:v>2015.0</c:v>
                </c:pt>
                <c:pt idx="9">
                  <c:v>2016.0</c:v>
                </c:pt>
                <c:pt idx="10">
                  <c:v>2017.0</c:v>
                </c:pt>
                <c:pt idx="11">
                  <c:v>2018.0</c:v>
                </c:pt>
                <c:pt idx="12">
                  <c:v>2019.0</c:v>
                </c:pt>
                <c:pt idx="13">
                  <c:v>2020.0</c:v>
                </c:pt>
                <c:pt idx="14">
                  <c:v>2021.0</c:v>
                </c:pt>
                <c:pt idx="15">
                  <c:v>2022.0</c:v>
                </c:pt>
                <c:pt idx="16">
                  <c:v>2023.0</c:v>
                </c:pt>
                <c:pt idx="17">
                  <c:v>2024.0</c:v>
                </c:pt>
                <c:pt idx="18">
                  <c:v>2025.0</c:v>
                </c:pt>
                <c:pt idx="19">
                  <c:v>2026.0</c:v>
                </c:pt>
                <c:pt idx="20">
                  <c:v>2027.0</c:v>
                </c:pt>
                <c:pt idx="21">
                  <c:v>2028.0</c:v>
                </c:pt>
                <c:pt idx="22">
                  <c:v>2029.0</c:v>
                </c:pt>
                <c:pt idx="23">
                  <c:v>2030.0</c:v>
                </c:pt>
                <c:pt idx="24">
                  <c:v>2031.0</c:v>
                </c:pt>
                <c:pt idx="25">
                  <c:v>2032.0</c:v>
                </c:pt>
                <c:pt idx="26">
                  <c:v>2033.0</c:v>
                </c:pt>
                <c:pt idx="27">
                  <c:v>2034.0</c:v>
                </c:pt>
                <c:pt idx="28">
                  <c:v>2035.0</c:v>
                </c:pt>
                <c:pt idx="29">
                  <c:v>2036.0</c:v>
                </c:pt>
                <c:pt idx="30">
                  <c:v>2037.0</c:v>
                </c:pt>
              </c:numCache>
            </c:numRef>
          </c:cat>
          <c:val>
            <c:numRef>
              <c:f>Graph_CO2!$I$7:$AM$7</c:f>
              <c:numCache>
                <c:formatCode>_(* #,##0_);_(* \(#,##0\);_(* "-"??_);_(@_)</c:formatCode>
                <c:ptCount val="31"/>
                <c:pt idx="0">
                  <c:v>5906.108533464413</c:v>
                </c:pt>
                <c:pt idx="1">
                  <c:v>5891.271635636268</c:v>
                </c:pt>
                <c:pt idx="2">
                  <c:v>5938.746251587846</c:v>
                </c:pt>
                <c:pt idx="3">
                  <c:v>5771.985953936171</c:v>
                </c:pt>
                <c:pt idx="4">
                  <c:v>5406.426242414684</c:v>
                </c:pt>
                <c:pt idx="5">
                  <c:v>5596.358126771156</c:v>
                </c:pt>
                <c:pt idx="6">
                  <c:v>5458.60803182756</c:v>
                </c:pt>
                <c:pt idx="7">
                  <c:v>5220.654002874735</c:v>
                </c:pt>
                <c:pt idx="8">
                  <c:v>5318.386354168665</c:v>
                </c:pt>
                <c:pt idx="9">
                  <c:v>5341.808329718306</c:v>
                </c:pt>
                <c:pt idx="10">
                  <c:v>5365.337495787988</c:v>
                </c:pt>
                <c:pt idx="11">
                  <c:v>5388.976484471351</c:v>
                </c:pt>
                <c:pt idx="12">
                  <c:v>5412.727935985258</c:v>
                </c:pt>
                <c:pt idx="13">
                  <c:v>5436.594497411706</c:v>
                </c:pt>
                <c:pt idx="14">
                  <c:v>5460.578821532956</c:v>
                </c:pt>
                <c:pt idx="15">
                  <c:v>5484.68356575752</c:v>
                </c:pt>
                <c:pt idx="16">
                  <c:v>5508.911391134515</c:v>
                </c:pt>
                <c:pt idx="17">
                  <c:v>5533.26496145379</c:v>
                </c:pt>
                <c:pt idx="18">
                  <c:v>5553.93044182937</c:v>
                </c:pt>
                <c:pt idx="19">
                  <c:v>5557.107162691396</c:v>
                </c:pt>
                <c:pt idx="20">
                  <c:v>5560.38635417036</c:v>
                </c:pt>
                <c:pt idx="21">
                  <c:v>5563.768183875874</c:v>
                </c:pt>
                <c:pt idx="22">
                  <c:v>5567.252819562492</c:v>
                </c:pt>
                <c:pt idx="23">
                  <c:v>5570.84042937125</c:v>
                </c:pt>
                <c:pt idx="24">
                  <c:v>5574.531182103936</c:v>
                </c:pt>
                <c:pt idx="25">
                  <c:v>5578.32524752532</c:v>
                </c:pt>
                <c:pt idx="26">
                  <c:v>5582.222796688802</c:v>
                </c:pt>
                <c:pt idx="27">
                  <c:v>5586.224002281144</c:v>
                </c:pt>
                <c:pt idx="28">
                  <c:v>5592.378838826858</c:v>
                </c:pt>
                <c:pt idx="29">
                  <c:v>5586.489941250911</c:v>
                </c:pt>
                <c:pt idx="30">
                  <c:v>5582.654551811647</c:v>
                </c:pt>
              </c:numCache>
            </c:numRef>
          </c:val>
          <c:smooth val="0"/>
        </c:ser>
        <c:ser>
          <c:idx val="2"/>
          <c:order val="1"/>
          <c:tx>
            <c:v>User-Selected Price</c:v>
          </c:tx>
          <c:cat>
            <c:numRef>
              <c:f>Graph_CO2!$I$6:$AM$6</c:f>
              <c:numCache>
                <c:formatCode>0</c:formatCode>
                <c:ptCount val="31"/>
                <c:pt idx="0">
                  <c:v>2005.0</c:v>
                </c:pt>
                <c:pt idx="1">
                  <c:v>2006.0</c:v>
                </c:pt>
                <c:pt idx="2">
                  <c:v>2007.0</c:v>
                </c:pt>
                <c:pt idx="3">
                  <c:v>2008.0</c:v>
                </c:pt>
                <c:pt idx="4">
                  <c:v>2009.0</c:v>
                </c:pt>
                <c:pt idx="5">
                  <c:v>2010.0</c:v>
                </c:pt>
                <c:pt idx="6">
                  <c:v>2011.0</c:v>
                </c:pt>
                <c:pt idx="7">
                  <c:v>2012.0</c:v>
                </c:pt>
                <c:pt idx="8">
                  <c:v>2015.0</c:v>
                </c:pt>
                <c:pt idx="9">
                  <c:v>2016.0</c:v>
                </c:pt>
                <c:pt idx="10">
                  <c:v>2017.0</c:v>
                </c:pt>
                <c:pt idx="11">
                  <c:v>2018.0</c:v>
                </c:pt>
                <c:pt idx="12">
                  <c:v>2019.0</c:v>
                </c:pt>
                <c:pt idx="13">
                  <c:v>2020.0</c:v>
                </c:pt>
                <c:pt idx="14">
                  <c:v>2021.0</c:v>
                </c:pt>
                <c:pt idx="15">
                  <c:v>2022.0</c:v>
                </c:pt>
                <c:pt idx="16">
                  <c:v>2023.0</c:v>
                </c:pt>
                <c:pt idx="17">
                  <c:v>2024.0</c:v>
                </c:pt>
                <c:pt idx="18">
                  <c:v>2025.0</c:v>
                </c:pt>
                <c:pt idx="19">
                  <c:v>2026.0</c:v>
                </c:pt>
                <c:pt idx="20">
                  <c:v>2027.0</c:v>
                </c:pt>
                <c:pt idx="21">
                  <c:v>2028.0</c:v>
                </c:pt>
                <c:pt idx="22">
                  <c:v>2029.0</c:v>
                </c:pt>
                <c:pt idx="23">
                  <c:v>2030.0</c:v>
                </c:pt>
                <c:pt idx="24">
                  <c:v>2031.0</c:v>
                </c:pt>
                <c:pt idx="25">
                  <c:v>2032.0</c:v>
                </c:pt>
                <c:pt idx="26">
                  <c:v>2033.0</c:v>
                </c:pt>
                <c:pt idx="27">
                  <c:v>2034.0</c:v>
                </c:pt>
                <c:pt idx="28">
                  <c:v>2035.0</c:v>
                </c:pt>
                <c:pt idx="29">
                  <c:v>2036.0</c:v>
                </c:pt>
                <c:pt idx="30">
                  <c:v>2037.0</c:v>
                </c:pt>
              </c:numCache>
            </c:numRef>
          </c:cat>
          <c:val>
            <c:numRef>
              <c:f>Graph_CO2!$I$9:$AM$9</c:f>
              <c:numCache>
                <c:formatCode>_(* #,##0_);_(* \(#,##0\);_(* "-"??_);_(@_)</c:formatCode>
                <c:ptCount val="31"/>
                <c:pt idx="0">
                  <c:v>5906.108533464413</c:v>
                </c:pt>
                <c:pt idx="1">
                  <c:v>5891.271635636268</c:v>
                </c:pt>
                <c:pt idx="2">
                  <c:v>5938.746251587846</c:v>
                </c:pt>
                <c:pt idx="3">
                  <c:v>5771.985953936171</c:v>
                </c:pt>
                <c:pt idx="4">
                  <c:v>5406.426242414684</c:v>
                </c:pt>
                <c:pt idx="5">
                  <c:v>5596.358126771156</c:v>
                </c:pt>
                <c:pt idx="6">
                  <c:v>5458.60803182756</c:v>
                </c:pt>
                <c:pt idx="7">
                  <c:v>5220.654002874735</c:v>
                </c:pt>
                <c:pt idx="8">
                  <c:v>4191.99392555672</c:v>
                </c:pt>
                <c:pt idx="9">
                  <c:v>4219.827131395886</c:v>
                </c:pt>
                <c:pt idx="10">
                  <c:v>4247.728675551978</c:v>
                </c:pt>
                <c:pt idx="11">
                  <c:v>4275.699935924081</c:v>
                </c:pt>
                <c:pt idx="12">
                  <c:v>4303.742379632358</c:v>
                </c:pt>
                <c:pt idx="13">
                  <c:v>4331.857560667875</c:v>
                </c:pt>
                <c:pt idx="14">
                  <c:v>4360.047117448503</c:v>
                </c:pt>
                <c:pt idx="15">
                  <c:v>4388.312770294436</c:v>
                </c:pt>
                <c:pt idx="16">
                  <c:v>4416.65631883667</c:v>
                </c:pt>
                <c:pt idx="17">
                  <c:v>4445.079639371352</c:v>
                </c:pt>
                <c:pt idx="18">
                  <c:v>4470.190859940288</c:v>
                </c:pt>
                <c:pt idx="19">
                  <c:v>4485.214698925639</c:v>
                </c:pt>
                <c:pt idx="20">
                  <c:v>4500.172887972827</c:v>
                </c:pt>
                <c:pt idx="21">
                  <c:v>4515.067500524712</c:v>
                </c:pt>
                <c:pt idx="22">
                  <c:v>4529.900624529553</c:v>
                </c:pt>
                <c:pt idx="23">
                  <c:v>4544.674359594824</c:v>
                </c:pt>
                <c:pt idx="24">
                  <c:v>4559.390814268604</c:v>
                </c:pt>
                <c:pt idx="25">
                  <c:v>4574.052103453455</c:v>
                </c:pt>
                <c:pt idx="26">
                  <c:v>4588.66034595672</c:v>
                </c:pt>
                <c:pt idx="27">
                  <c:v>4603.217662180216</c:v>
                </c:pt>
                <c:pt idx="28">
                  <c:v>4619.579191462715</c:v>
                </c:pt>
                <c:pt idx="29">
                  <c:v>4628.727276879437</c:v>
                </c:pt>
                <c:pt idx="30">
                  <c:v>4639.491460674707</c:v>
                </c:pt>
              </c:numCache>
            </c:numRef>
          </c:val>
          <c:smooth val="0"/>
        </c:ser>
        <c:dLbls>
          <c:showLegendKey val="0"/>
          <c:showVal val="0"/>
          <c:showCatName val="0"/>
          <c:showSerName val="0"/>
          <c:showPercent val="0"/>
          <c:showBubbleSize val="0"/>
        </c:dLbls>
        <c:marker val="1"/>
        <c:smooth val="0"/>
        <c:axId val="553860488"/>
        <c:axId val="553857000"/>
      </c:lineChart>
      <c:catAx>
        <c:axId val="553860488"/>
        <c:scaling>
          <c:orientation val="minMax"/>
        </c:scaling>
        <c:delete val="0"/>
        <c:axPos val="b"/>
        <c:min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53857000"/>
        <c:crosses val="autoZero"/>
        <c:auto val="1"/>
        <c:lblAlgn val="ctr"/>
        <c:lblOffset val="100"/>
        <c:tickLblSkip val="4"/>
        <c:tickMarkSkip val="2"/>
        <c:noMultiLvlLbl val="0"/>
      </c:catAx>
      <c:valAx>
        <c:axId val="553857000"/>
        <c:scaling>
          <c:orientation val="minMax"/>
          <c:max val="8000.0"/>
          <c:min val="0.0"/>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Million Tonnes CO2 (U.S.)</a:t>
                </a:r>
              </a:p>
            </c:rich>
          </c:tx>
          <c:layout>
            <c:manualLayout>
              <c:xMode val="edge"/>
              <c:yMode val="edge"/>
              <c:x val="0.0227090710170469"/>
              <c:y val="0.14702662167229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553860488"/>
        <c:crosses val="autoZero"/>
        <c:crossBetween val="midCat"/>
        <c:majorUnit val="2000.0"/>
        <c:minorUnit val="500.0"/>
      </c:valAx>
      <c:spPr>
        <a:solidFill>
          <a:srgbClr val="C0C0C0"/>
        </a:solidFill>
        <a:ln w="12700">
          <a:solidFill>
            <a:srgbClr val="808080"/>
          </a:solidFill>
          <a:prstDash val="solid"/>
        </a:ln>
      </c:spPr>
    </c:plotArea>
    <c:legend>
      <c:legendPos val="r"/>
      <c:legendEntry>
        <c:idx val="0"/>
        <c:txPr>
          <a:bodyPr/>
          <a:lstStyle/>
          <a:p>
            <a:pPr>
              <a:defRPr sz="490" b="1" i="0" u="none" strike="noStrike" baseline="0">
                <a:solidFill>
                  <a:srgbClr val="000000"/>
                </a:solidFill>
                <a:latin typeface="Arial"/>
                <a:ea typeface="Arial"/>
                <a:cs typeface="Arial"/>
              </a:defRPr>
            </a:pPr>
            <a:endParaRPr lang="en-US"/>
          </a:p>
        </c:txPr>
      </c:legendEntry>
      <c:layout>
        <c:manualLayout>
          <c:xMode val="edge"/>
          <c:yMode val="edge"/>
          <c:x val="0.209335101079511"/>
          <c:y val="0.613555180602424"/>
          <c:w val="0.371522848658292"/>
          <c:h val="0.195006249218848"/>
        </c:manualLayout>
      </c:layout>
      <c:overlay val="0"/>
      <c:spPr>
        <a:solidFill>
          <a:srgbClr val="FFFFFF"/>
        </a:solidFill>
        <a:ln w="3175">
          <a:solidFill>
            <a:srgbClr val="000000"/>
          </a:solidFill>
          <a:prstDash val="solid"/>
        </a:ln>
      </c:spPr>
      <c:txPr>
        <a:bodyPr/>
        <a:lstStyle/>
        <a:p>
          <a:pPr>
            <a:defRPr sz="525"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0" l="0.750000000000001" r="0.750000000000001" t="1.0" header="0.5" footer="0.5"/>
    <c:pageSetup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50" b="1" i="0" u="none" strike="noStrike" baseline="0">
                <a:solidFill>
                  <a:srgbClr val="000000"/>
                </a:solidFill>
                <a:latin typeface="Arial"/>
                <a:ea typeface="Arial"/>
                <a:cs typeface="Arial"/>
              </a:defRPr>
            </a:pPr>
            <a:r>
              <a:rPr lang="en-US"/>
              <a:t>Carbon Tax Revenue "Dividends"</a:t>
            </a:r>
          </a:p>
        </c:rich>
      </c:tx>
      <c:layout>
        <c:manualLayout>
          <c:xMode val="edge"/>
          <c:yMode val="edge"/>
          <c:x val="0.14930881372989"/>
          <c:y val="0.0308833924008087"/>
        </c:manualLayout>
      </c:layout>
      <c:overlay val="0"/>
      <c:spPr>
        <a:noFill/>
        <a:ln w="25400">
          <a:noFill/>
        </a:ln>
      </c:spPr>
    </c:title>
    <c:autoTitleDeleted val="0"/>
    <c:plotArea>
      <c:layout>
        <c:manualLayout>
          <c:layoutTarget val="inner"/>
          <c:xMode val="edge"/>
          <c:yMode val="edge"/>
          <c:x val="0.152189007347533"/>
          <c:y val="0.155649495620277"/>
          <c:w val="0.79976149311885"/>
          <c:h val="0.74438776021318"/>
        </c:manualLayout>
      </c:layout>
      <c:lineChart>
        <c:grouping val="standard"/>
        <c:varyColors val="0"/>
        <c:ser>
          <c:idx val="1"/>
          <c:order val="0"/>
          <c:tx>
            <c:v>Per-Household Dividend (assumes all revenue returned to households, and 2.6 people per HH)</c:v>
          </c:tx>
          <c:marker>
            <c:spPr>
              <a:solidFill>
                <a:srgbClr val="00B0F0"/>
              </a:solidFill>
            </c:spPr>
          </c:marker>
          <c:cat>
            <c:numRef>
              <c:f>Summary!$Q$198:$AM$198</c:f>
              <c:numCache>
                <c:formatCode>General</c:formatCode>
                <c:ptCount val="23"/>
                <c:pt idx="0">
                  <c:v>2015.0</c:v>
                </c:pt>
                <c:pt idx="1">
                  <c:v>2016.0</c:v>
                </c:pt>
                <c:pt idx="2">
                  <c:v>2017.0</c:v>
                </c:pt>
                <c:pt idx="3">
                  <c:v>2018.0</c:v>
                </c:pt>
                <c:pt idx="4">
                  <c:v>2019.0</c:v>
                </c:pt>
                <c:pt idx="5">
                  <c:v>2020.0</c:v>
                </c:pt>
                <c:pt idx="6">
                  <c:v>2021.0</c:v>
                </c:pt>
                <c:pt idx="7">
                  <c:v>2022.0</c:v>
                </c:pt>
                <c:pt idx="8">
                  <c:v>2023.0</c:v>
                </c:pt>
                <c:pt idx="9">
                  <c:v>2024.0</c:v>
                </c:pt>
                <c:pt idx="10">
                  <c:v>2025.0</c:v>
                </c:pt>
                <c:pt idx="11">
                  <c:v>2026.0</c:v>
                </c:pt>
                <c:pt idx="12">
                  <c:v>2027.0</c:v>
                </c:pt>
                <c:pt idx="13">
                  <c:v>2028.0</c:v>
                </c:pt>
                <c:pt idx="14">
                  <c:v>2029.0</c:v>
                </c:pt>
                <c:pt idx="15">
                  <c:v>2030.0</c:v>
                </c:pt>
                <c:pt idx="16">
                  <c:v>2031.0</c:v>
                </c:pt>
                <c:pt idx="17">
                  <c:v>2032.0</c:v>
                </c:pt>
                <c:pt idx="18">
                  <c:v>2033.0</c:v>
                </c:pt>
                <c:pt idx="19">
                  <c:v>2034.0</c:v>
                </c:pt>
                <c:pt idx="20">
                  <c:v>2035.0</c:v>
                </c:pt>
                <c:pt idx="21">
                  <c:v>2036.0</c:v>
                </c:pt>
                <c:pt idx="22">
                  <c:v>2037.0</c:v>
                </c:pt>
              </c:numCache>
            </c:numRef>
          </c:cat>
          <c:val>
            <c:numRef>
              <c:f>Summary!$Q$220:$AM$220</c:f>
              <c:numCache>
                <c:formatCode>[$$-409]#,##0_);\([$$-409]#,##0\)</c:formatCode>
                <c:ptCount val="23"/>
                <c:pt idx="0">
                  <c:v>2955.51853012051</c:v>
                </c:pt>
                <c:pt idx="1">
                  <c:v>3001.655533672792</c:v>
                </c:pt>
                <c:pt idx="2">
                  <c:v>3050.497550201228</c:v>
                </c:pt>
                <c:pt idx="3">
                  <c:v>3099.472520785658</c:v>
                </c:pt>
                <c:pt idx="4">
                  <c:v>3149.394391789358</c:v>
                </c:pt>
                <c:pt idx="5">
                  <c:v>3197.896440667766</c:v>
                </c:pt>
                <c:pt idx="6">
                  <c:v>3248.962114461287</c:v>
                </c:pt>
                <c:pt idx="7">
                  <c:v>3301.029516991663</c:v>
                </c:pt>
                <c:pt idx="8">
                  <c:v>3354.129818968896</c:v>
                </c:pt>
                <c:pt idx="9">
                  <c:v>3409.02806452775</c:v>
                </c:pt>
                <c:pt idx="10">
                  <c:v>3459.695048016262</c:v>
                </c:pt>
                <c:pt idx="11">
                  <c:v>3507.303481808528</c:v>
                </c:pt>
                <c:pt idx="12">
                  <c:v>3555.977379072941</c:v>
                </c:pt>
                <c:pt idx="13">
                  <c:v>3605.013531753491</c:v>
                </c:pt>
                <c:pt idx="14">
                  <c:v>3655.149548837704</c:v>
                </c:pt>
                <c:pt idx="15">
                  <c:v>3706.394084095427</c:v>
                </c:pt>
                <c:pt idx="16">
                  <c:v>3758.01089255838</c:v>
                </c:pt>
                <c:pt idx="17">
                  <c:v>3812.355886376374</c:v>
                </c:pt>
                <c:pt idx="18">
                  <c:v>3866.532107752051</c:v>
                </c:pt>
                <c:pt idx="19">
                  <c:v>3924.099555968076</c:v>
                </c:pt>
                <c:pt idx="20">
                  <c:v>3982.893672153551</c:v>
                </c:pt>
                <c:pt idx="21">
                  <c:v>4038.54526061518</c:v>
                </c:pt>
                <c:pt idx="22">
                  <c:v>4097.400092670864</c:v>
                </c:pt>
              </c:numCache>
            </c:numRef>
          </c:val>
          <c:smooth val="0"/>
        </c:ser>
        <c:dLbls>
          <c:showLegendKey val="0"/>
          <c:showVal val="0"/>
          <c:showCatName val="0"/>
          <c:showSerName val="0"/>
          <c:showPercent val="0"/>
          <c:showBubbleSize val="0"/>
        </c:dLbls>
        <c:marker val="1"/>
        <c:smooth val="0"/>
        <c:axId val="138372040"/>
        <c:axId val="138375144"/>
      </c:lineChart>
      <c:catAx>
        <c:axId val="138372040"/>
        <c:scaling>
          <c:orientation val="minMax"/>
        </c:scaling>
        <c:delete val="0"/>
        <c:axPos val="b"/>
        <c:min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8375144"/>
        <c:crosses val="autoZero"/>
        <c:auto val="1"/>
        <c:lblAlgn val="ctr"/>
        <c:lblOffset val="100"/>
        <c:tickLblSkip val="2"/>
        <c:tickMarkSkip val="2"/>
        <c:noMultiLvlLbl val="0"/>
      </c:catAx>
      <c:valAx>
        <c:axId val="138375144"/>
        <c:scaling>
          <c:orientation val="minMax"/>
        </c:scaling>
        <c:delete val="0"/>
        <c:axPos val="l"/>
        <c:majorGridlines>
          <c:spPr>
            <a:ln w="3175">
              <a:solidFill>
                <a:srgbClr val="000000"/>
              </a:solidFill>
              <a:prstDash val="solid"/>
            </a:ln>
          </c:spPr>
        </c:majorGridlines>
        <c:title>
          <c:tx>
            <c:rich>
              <a:bodyPr/>
              <a:lstStyle/>
              <a:p>
                <a:pPr>
                  <a:defRPr sz="1200" b="0" i="0" u="none" strike="noStrike" baseline="0">
                    <a:solidFill>
                      <a:srgbClr val="000000"/>
                    </a:solidFill>
                    <a:latin typeface="Arial"/>
                    <a:ea typeface="Arial"/>
                    <a:cs typeface="Arial"/>
                  </a:defRPr>
                </a:pPr>
                <a:r>
                  <a:rPr lang="en-US"/>
                  <a:t>$ per household per year</a:t>
                </a:r>
              </a:p>
            </c:rich>
          </c:tx>
          <c:layout>
            <c:manualLayout>
              <c:xMode val="edge"/>
              <c:yMode val="edge"/>
              <c:x val="0.0151982783240178"/>
              <c:y val="0.46842929944491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0" b="1" i="0" u="none" strike="noStrike" baseline="0">
                <a:solidFill>
                  <a:srgbClr val="000000"/>
                </a:solidFill>
                <a:latin typeface="Arial"/>
                <a:ea typeface="Arial"/>
                <a:cs typeface="Arial"/>
              </a:defRPr>
            </a:pPr>
            <a:endParaRPr lang="en-US"/>
          </a:p>
        </c:txPr>
        <c:crossAx val="138372040"/>
        <c:crosses val="autoZero"/>
        <c:crossBetween val="midCat"/>
        <c:majorUnit val="2000.0"/>
      </c:valAx>
      <c:spPr>
        <a:blipFill>
          <a:blip xmlns:r="http://schemas.openxmlformats.org/officeDocument/2006/relationships" r:embed="rId1"/>
          <a:tile tx="0" ty="0" sx="100000" sy="100000" flip="none" algn="tl"/>
        </a:blipFill>
        <a:ln w="12700">
          <a:solidFill>
            <a:srgbClr val="808080"/>
          </a:solidFill>
          <a:prstDash val="solid"/>
        </a:ln>
      </c:spPr>
    </c:plotArea>
    <c:legend>
      <c:legendPos val="r"/>
      <c:layout>
        <c:manualLayout>
          <c:xMode val="edge"/>
          <c:yMode val="edge"/>
          <c:x val="0.583898555750479"/>
          <c:y val="0.562620421034941"/>
          <c:w val="0.285461459480777"/>
          <c:h val="0.242774490759276"/>
        </c:manualLayout>
      </c:layout>
      <c:overlay val="0"/>
      <c:spPr>
        <a:solidFill>
          <a:srgbClr val="FFFF00"/>
        </a:solidFill>
        <a:ln w="3175">
          <a:solidFill>
            <a:srgbClr val="000000"/>
          </a:solidFill>
          <a:prstDash val="solid"/>
        </a:ln>
      </c:spPr>
      <c:txPr>
        <a:bodyPr/>
        <a:lstStyle/>
        <a:p>
          <a:pPr>
            <a:defRPr sz="11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0" l="0.750000000000001" r="0.750000000000001" t="1.0" header="0.5" footer="0.5"/>
    <c:pageSetup orientation="landscape"/>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110"/>
      <c:rAngAx val="0"/>
      <c:perspective val="30"/>
    </c:view3D>
    <c:floor>
      <c:thickness val="0"/>
    </c:floor>
    <c:sideWall>
      <c:thickness val="0"/>
    </c:sideWall>
    <c:backWall>
      <c:thickness val="0"/>
    </c:backWall>
    <c:plotArea>
      <c:layout>
        <c:manualLayout>
          <c:layoutTarget val="inner"/>
          <c:xMode val="edge"/>
          <c:yMode val="edge"/>
          <c:x val="0.193250084312087"/>
          <c:y val="0.0"/>
          <c:w val="0.630115552517776"/>
          <c:h val="0.918531504395219"/>
        </c:manualLayout>
      </c:layout>
      <c:pie3DChart>
        <c:varyColors val="1"/>
        <c:ser>
          <c:idx val="0"/>
          <c:order val="0"/>
          <c:dPt>
            <c:idx val="0"/>
            <c:bubble3D val="0"/>
            <c:spPr>
              <a:solidFill>
                <a:srgbClr val="00FF00"/>
              </a:solidFill>
            </c:spPr>
          </c:dPt>
          <c:dPt>
            <c:idx val="1"/>
            <c:bubble3D val="0"/>
            <c:spPr>
              <a:solidFill>
                <a:srgbClr val="FF33CC"/>
              </a:solidFill>
            </c:spPr>
          </c:dPt>
          <c:dPt>
            <c:idx val="2"/>
            <c:bubble3D val="0"/>
            <c:spPr>
              <a:solidFill>
                <a:srgbClr val="FF3300"/>
              </a:solidFill>
            </c:spPr>
          </c:dPt>
          <c:dPt>
            <c:idx val="3"/>
            <c:bubble3D val="0"/>
            <c:spPr>
              <a:solidFill>
                <a:srgbClr val="00FFFF"/>
              </a:solidFill>
            </c:spPr>
          </c:dPt>
          <c:dPt>
            <c:idx val="4"/>
            <c:bubble3D val="0"/>
            <c:spPr>
              <a:solidFill>
                <a:srgbClr val="FFFF00"/>
              </a:solidFill>
            </c:spPr>
          </c:dPt>
          <c:dLbls>
            <c:txPr>
              <a:bodyPr/>
              <a:lstStyle/>
              <a:p>
                <a:pPr>
                  <a:defRPr sz="1300" b="1" i="0" baseline="0"/>
                </a:pPr>
                <a:endParaRPr lang="en-US"/>
              </a:p>
            </c:txPr>
            <c:showLegendKey val="0"/>
            <c:showVal val="1"/>
            <c:showCatName val="0"/>
            <c:showSerName val="0"/>
            <c:showPercent val="0"/>
            <c:showBubbleSize val="0"/>
            <c:showLeaderLines val="1"/>
          </c:dLbls>
          <c:cat>
            <c:strRef>
              <c:f>'Other Graphs'!$B$7:$B$12</c:f>
              <c:strCache>
                <c:ptCount val="6"/>
                <c:pt idx="0">
                  <c:v>Electricity</c:v>
                </c:pt>
                <c:pt idx="1">
                  <c:v>Personal Ground Travel</c:v>
                </c:pt>
                <c:pt idx="2">
                  <c:v>Goods Movement</c:v>
                </c:pt>
                <c:pt idx="3">
                  <c:v>Air Travel</c:v>
                </c:pt>
                <c:pt idx="4">
                  <c:v>Other Petroleum</c:v>
                </c:pt>
                <c:pt idx="5">
                  <c:v>Other "Natural" Gas</c:v>
                </c:pt>
              </c:strCache>
            </c:strRef>
          </c:cat>
          <c:val>
            <c:numRef>
              <c:f>'Other Graphs'!$F$7:$F$12</c:f>
              <c:numCache>
                <c:formatCode>0%</c:formatCode>
                <c:ptCount val="6"/>
                <c:pt idx="0">
                  <c:v>0.389892588317775</c:v>
                </c:pt>
                <c:pt idx="1">
                  <c:v>0.226819301517105</c:v>
                </c:pt>
                <c:pt idx="2">
                  <c:v>0.0895413573930379</c:v>
                </c:pt>
                <c:pt idx="3">
                  <c:v>0.0397022801613948</c:v>
                </c:pt>
                <c:pt idx="4">
                  <c:v>0.15323581214901</c:v>
                </c:pt>
                <c:pt idx="5">
                  <c:v>0.100808660461678</c:v>
                </c:pt>
              </c:numCache>
            </c:numRef>
          </c:val>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058955409903371"/>
          <c:y val="0.755406080312835"/>
          <c:w val="0.820249930350885"/>
          <c:h val="0.188370950088729"/>
        </c:manualLayout>
      </c:layout>
      <c:overlay val="0"/>
      <c:txPr>
        <a:bodyPr/>
        <a:lstStyle/>
        <a:p>
          <a:pPr>
            <a:defRPr sz="1400" b="1" i="0" u="none" strike="noStrike" baseline="0">
              <a:solidFill>
                <a:srgbClr val="000000"/>
              </a:solidFill>
              <a:latin typeface="Calibri"/>
              <a:ea typeface="Calibri"/>
              <a:cs typeface="Calibri"/>
            </a:defRPr>
          </a:pPr>
          <a:endParaRPr lang="en-US"/>
        </a:p>
      </c:txPr>
    </c:legend>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landscape" verticalDpi="0"/>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75"/>
      <c:rotY val="0"/>
      <c:rAngAx val="0"/>
      <c:perspective val="30"/>
    </c:view3D>
    <c:floor>
      <c:thickness val="0"/>
    </c:floor>
    <c:sideWall>
      <c:thickness val="0"/>
    </c:sideWall>
    <c:backWall>
      <c:thickness val="0"/>
    </c:backWall>
    <c:plotArea>
      <c:layout>
        <c:manualLayout>
          <c:layoutTarget val="inner"/>
          <c:xMode val="edge"/>
          <c:yMode val="edge"/>
          <c:x val="0.0722222222222223"/>
          <c:y val="0.0509259259259259"/>
          <c:w val="0.701975065616798"/>
          <c:h val="0.898148148148148"/>
        </c:manualLayout>
      </c:layout>
      <c:pie3DChart>
        <c:varyColors val="1"/>
        <c:ser>
          <c:idx val="0"/>
          <c:order val="0"/>
          <c:dPt>
            <c:idx val="0"/>
            <c:bubble3D val="0"/>
            <c:spPr>
              <a:solidFill>
                <a:schemeClr val="tx1"/>
              </a:solidFill>
            </c:spPr>
          </c:dPt>
          <c:dPt>
            <c:idx val="3"/>
            <c:bubble3D val="0"/>
            <c:spPr>
              <a:solidFill>
                <a:srgbClr val="00FF00"/>
              </a:solidFill>
            </c:spPr>
          </c:dPt>
          <c:dPt>
            <c:idx val="4"/>
            <c:bubble3D val="0"/>
            <c:spPr>
              <a:solidFill>
                <a:srgbClr val="00CCFF"/>
              </a:solidFill>
            </c:spPr>
          </c:dPt>
          <c:dPt>
            <c:idx val="5"/>
            <c:bubble3D val="0"/>
            <c:spPr>
              <a:solidFill>
                <a:srgbClr val="FFFF00"/>
              </a:solidFill>
            </c:spPr>
          </c:dPt>
          <c:cat>
            <c:strRef>
              <c:f>'Other Graphs'!$D$47:$J$47</c:f>
              <c:strCache>
                <c:ptCount val="7"/>
                <c:pt idx="0">
                  <c:v>Coal</c:v>
                </c:pt>
                <c:pt idx="1">
                  <c:v>Methane</c:v>
                </c:pt>
                <c:pt idx="2">
                  <c:v>Nuke</c:v>
                </c:pt>
                <c:pt idx="3">
                  <c:v>Other</c:v>
                </c:pt>
                <c:pt idx="4">
                  <c:v>Hydro</c:v>
                </c:pt>
                <c:pt idx="5">
                  <c:v>Wind</c:v>
                </c:pt>
                <c:pt idx="6">
                  <c:v>Solar</c:v>
                </c:pt>
              </c:strCache>
            </c:strRef>
          </c:cat>
          <c:val>
            <c:numRef>
              <c:f>'Other Graphs'!$D$50:$J$50</c:f>
              <c:numCache>
                <c:formatCode>0%</c:formatCode>
                <c:ptCount val="7"/>
                <c:pt idx="0">
                  <c:v>0.374198322644302</c:v>
                </c:pt>
                <c:pt idx="1">
                  <c:v>0.303650715342871</c:v>
                </c:pt>
                <c:pt idx="2">
                  <c:v>0.189689195855945</c:v>
                </c:pt>
                <c:pt idx="3">
                  <c:v>0.0298470646275284</c:v>
                </c:pt>
                <c:pt idx="4">
                  <c:v>0.067094227923039</c:v>
                </c:pt>
                <c:pt idx="5">
                  <c:v>0.0345337937839171</c:v>
                </c:pt>
                <c:pt idx="6">
                  <c:v>0.00107054760730143</c:v>
                </c:pt>
              </c:numCache>
            </c:numRef>
          </c:val>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wMode val="edge"/>
          <c:hMode val="edge"/>
          <c:x val="0.688815030367582"/>
          <c:y val="0.0955828692145189"/>
          <c:w val="0.965670052113052"/>
          <c:h val="0.874728330452597"/>
        </c:manualLayout>
      </c:layout>
      <c:overlay val="0"/>
      <c:txPr>
        <a:bodyPr/>
        <a:lstStyle/>
        <a:p>
          <a:pPr>
            <a:defRPr sz="1160" b="1" i="0" u="none" strike="noStrike" baseline="0">
              <a:solidFill>
                <a:srgbClr val="000000"/>
              </a:solidFill>
              <a:latin typeface="Calibri"/>
              <a:ea typeface="Calibri"/>
              <a:cs typeface="Calibri"/>
            </a:defRPr>
          </a:pPr>
          <a:endParaRPr lang="en-US"/>
        </a:p>
      </c:txPr>
    </c:legend>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75"/>
      <c:rotY val="0"/>
      <c:rAngAx val="0"/>
      <c:perspective val="30"/>
    </c:view3D>
    <c:floor>
      <c:thickness val="0"/>
    </c:floor>
    <c:sideWall>
      <c:thickness val="0"/>
    </c:sideWall>
    <c:backWall>
      <c:thickness val="0"/>
    </c:backWall>
    <c:plotArea>
      <c:layout>
        <c:manualLayout>
          <c:layoutTarget val="inner"/>
          <c:xMode val="edge"/>
          <c:yMode val="edge"/>
          <c:x val="0.0722222222222223"/>
          <c:y val="0.0509259259259259"/>
          <c:w val="0.701975065616798"/>
          <c:h val="0.898148148148148"/>
        </c:manualLayout>
      </c:layout>
      <c:pie3DChart>
        <c:varyColors val="1"/>
        <c:ser>
          <c:idx val="0"/>
          <c:order val="0"/>
          <c:dPt>
            <c:idx val="0"/>
            <c:bubble3D val="0"/>
            <c:spPr>
              <a:solidFill>
                <a:schemeClr val="tx1"/>
              </a:solidFill>
            </c:spPr>
          </c:dPt>
          <c:dPt>
            <c:idx val="3"/>
            <c:bubble3D val="0"/>
            <c:spPr>
              <a:solidFill>
                <a:srgbClr val="00FF00"/>
              </a:solidFill>
            </c:spPr>
          </c:dPt>
          <c:dPt>
            <c:idx val="4"/>
            <c:bubble3D val="0"/>
            <c:spPr>
              <a:solidFill>
                <a:srgbClr val="00CCFF"/>
              </a:solidFill>
            </c:spPr>
          </c:dPt>
          <c:dPt>
            <c:idx val="5"/>
            <c:bubble3D val="0"/>
            <c:spPr>
              <a:solidFill>
                <a:srgbClr val="FFFF00"/>
              </a:solidFill>
            </c:spPr>
          </c:dPt>
          <c:cat>
            <c:strRef>
              <c:f>'Other Graphs'!$D$47:$J$47</c:f>
              <c:strCache>
                <c:ptCount val="7"/>
                <c:pt idx="0">
                  <c:v>Coal</c:v>
                </c:pt>
                <c:pt idx="1">
                  <c:v>Methane</c:v>
                </c:pt>
                <c:pt idx="2">
                  <c:v>Nuke</c:v>
                </c:pt>
                <c:pt idx="3">
                  <c:v>Other</c:v>
                </c:pt>
                <c:pt idx="4">
                  <c:v>Hydro</c:v>
                </c:pt>
                <c:pt idx="5">
                  <c:v>Wind</c:v>
                </c:pt>
                <c:pt idx="6">
                  <c:v>Solar</c:v>
                </c:pt>
              </c:strCache>
            </c:strRef>
          </c:cat>
          <c:val>
            <c:numRef>
              <c:f>'Other Graphs'!$D$53:$J$53</c:f>
              <c:numCache>
                <c:formatCode>0%</c:formatCode>
                <c:ptCount val="7"/>
                <c:pt idx="0">
                  <c:v>0.258656654151022</c:v>
                </c:pt>
                <c:pt idx="1">
                  <c:v>0.417188151856487</c:v>
                </c:pt>
                <c:pt idx="2">
                  <c:v>0.160408844388819</c:v>
                </c:pt>
                <c:pt idx="3">
                  <c:v>0.0252398831873175</c:v>
                </c:pt>
                <c:pt idx="4">
                  <c:v>0.0567375886524823</c:v>
                </c:pt>
                <c:pt idx="5">
                  <c:v>0.0680016687526074</c:v>
                </c:pt>
                <c:pt idx="6">
                  <c:v>0.0137672090112641</c:v>
                </c:pt>
              </c:numCache>
            </c:numRef>
          </c:val>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wMode val="edge"/>
          <c:hMode val="edge"/>
          <c:x val="0.6847044872403"/>
          <c:y val="0.120499662774351"/>
          <c:w val="0.960794990987573"/>
          <c:h val="0.896399811478674"/>
        </c:manualLayout>
      </c:layout>
      <c:overlay val="0"/>
      <c:txPr>
        <a:bodyPr/>
        <a:lstStyle/>
        <a:p>
          <a:pPr>
            <a:defRPr sz="1160" b="1" i="0" u="none" strike="noStrike" baseline="0">
              <a:solidFill>
                <a:srgbClr val="000000"/>
              </a:solidFill>
              <a:latin typeface="Calibri"/>
              <a:ea typeface="Calibri"/>
              <a:cs typeface="Calibri"/>
            </a:defRPr>
          </a:pPr>
          <a:endParaRPr lang="en-US"/>
        </a:p>
      </c:txPr>
    </c:legend>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 l="0.700000000000001" r="0.700000000000001" t="0.750000000000001"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75"/>
      <c:rotY val="0"/>
      <c:rAngAx val="0"/>
      <c:perspective val="30"/>
    </c:view3D>
    <c:floor>
      <c:thickness val="0"/>
    </c:floor>
    <c:sideWall>
      <c:thickness val="0"/>
    </c:sideWall>
    <c:backWall>
      <c:thickness val="0"/>
    </c:backWall>
    <c:plotArea>
      <c:layout>
        <c:manualLayout>
          <c:layoutTarget val="inner"/>
          <c:xMode val="edge"/>
          <c:yMode val="edge"/>
          <c:x val="0.0722222222222223"/>
          <c:y val="0.0509259259259259"/>
          <c:w val="0.701975065616798"/>
          <c:h val="0.898148148148148"/>
        </c:manualLayout>
      </c:layout>
      <c:pie3DChart>
        <c:varyColors val="1"/>
        <c:ser>
          <c:idx val="0"/>
          <c:order val="0"/>
          <c:dPt>
            <c:idx val="0"/>
            <c:bubble3D val="0"/>
            <c:spPr>
              <a:solidFill>
                <a:schemeClr val="tx1"/>
              </a:solidFill>
            </c:spPr>
          </c:dPt>
          <c:dPt>
            <c:idx val="3"/>
            <c:bubble3D val="0"/>
            <c:spPr>
              <a:solidFill>
                <a:srgbClr val="00FF00"/>
              </a:solidFill>
            </c:spPr>
          </c:dPt>
          <c:dPt>
            <c:idx val="4"/>
            <c:bubble3D val="0"/>
            <c:spPr>
              <a:solidFill>
                <a:srgbClr val="00CCFF"/>
              </a:solidFill>
            </c:spPr>
          </c:dPt>
          <c:dPt>
            <c:idx val="5"/>
            <c:bubble3D val="0"/>
            <c:spPr>
              <a:solidFill>
                <a:srgbClr val="FFFF00"/>
              </a:solidFill>
            </c:spPr>
          </c:dPt>
          <c:cat>
            <c:strRef>
              <c:f>'Other Graphs'!$D$47:$J$47</c:f>
              <c:strCache>
                <c:ptCount val="7"/>
                <c:pt idx="0">
                  <c:v>Coal</c:v>
                </c:pt>
                <c:pt idx="1">
                  <c:v>Methane</c:v>
                </c:pt>
                <c:pt idx="2">
                  <c:v>Nuke</c:v>
                </c:pt>
                <c:pt idx="3">
                  <c:v>Other</c:v>
                </c:pt>
                <c:pt idx="4">
                  <c:v>Hydro</c:v>
                </c:pt>
                <c:pt idx="5">
                  <c:v>Wind</c:v>
                </c:pt>
                <c:pt idx="6">
                  <c:v>Solar</c:v>
                </c:pt>
              </c:strCache>
            </c:strRef>
          </c:cat>
          <c:val>
            <c:numRef>
              <c:f>'Other Graphs'!$D$56:$J$56</c:f>
              <c:numCache>
                <c:formatCode>0%</c:formatCode>
                <c:ptCount val="7"/>
                <c:pt idx="0">
                  <c:v>0.157150340492404</c:v>
                </c:pt>
                <c:pt idx="1">
                  <c:v>0.220010476689366</c:v>
                </c:pt>
                <c:pt idx="2">
                  <c:v>0.201414353064432</c:v>
                </c:pt>
                <c:pt idx="3">
                  <c:v>0.0316919853326349</c:v>
                </c:pt>
                <c:pt idx="4">
                  <c:v>0.07124148768989</c:v>
                </c:pt>
                <c:pt idx="5">
                  <c:v>0.272393923520168</c:v>
                </c:pt>
                <c:pt idx="6">
                  <c:v>0.0460974332111053</c:v>
                </c:pt>
              </c:numCache>
            </c:numRef>
          </c:val>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wMode val="edge"/>
          <c:hMode val="edge"/>
          <c:x val="0.686600225696426"/>
          <c:y val="0.105417436246395"/>
          <c:w val="0.963455247441896"/>
          <c:h val="0.88433378698033"/>
        </c:manualLayout>
      </c:layout>
      <c:overlay val="0"/>
      <c:txPr>
        <a:bodyPr/>
        <a:lstStyle/>
        <a:p>
          <a:pPr>
            <a:defRPr sz="1160" b="1" i="0" u="none" strike="noStrike" baseline="0">
              <a:solidFill>
                <a:srgbClr val="000000"/>
              </a:solidFill>
              <a:latin typeface="Calibri"/>
              <a:ea typeface="Calibri"/>
              <a:cs typeface="Calibri"/>
            </a:defRPr>
          </a:pPr>
          <a:endParaRPr lang="en-US"/>
        </a:p>
      </c:txPr>
    </c:legend>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 l="0.700000000000001" r="0.700000000000001" t="0.750000000000001" header="0.3" footer="0.3"/>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75"/>
      <c:rotY val="0"/>
      <c:rAngAx val="0"/>
      <c:perspective val="30"/>
    </c:view3D>
    <c:floor>
      <c:thickness val="0"/>
    </c:floor>
    <c:sideWall>
      <c:thickness val="0"/>
    </c:sideWall>
    <c:backWall>
      <c:thickness val="0"/>
    </c:backWall>
    <c:plotArea>
      <c:layout>
        <c:manualLayout>
          <c:layoutTarget val="inner"/>
          <c:xMode val="edge"/>
          <c:yMode val="edge"/>
          <c:x val="0.0722222222222223"/>
          <c:y val="0.0509259259259259"/>
          <c:w val="0.701975065616799"/>
          <c:h val="0.898148148148148"/>
        </c:manualLayout>
      </c:layout>
      <c:pie3DChart>
        <c:varyColors val="1"/>
        <c:ser>
          <c:idx val="0"/>
          <c:order val="0"/>
          <c:dPt>
            <c:idx val="0"/>
            <c:bubble3D val="0"/>
            <c:spPr>
              <a:solidFill>
                <a:schemeClr val="tx1"/>
              </a:solidFill>
            </c:spPr>
          </c:dPt>
          <c:dPt>
            <c:idx val="3"/>
            <c:bubble3D val="0"/>
            <c:spPr>
              <a:solidFill>
                <a:srgbClr val="00FF00"/>
              </a:solidFill>
            </c:spPr>
          </c:dPt>
          <c:dPt>
            <c:idx val="4"/>
            <c:bubble3D val="0"/>
            <c:spPr>
              <a:solidFill>
                <a:srgbClr val="00CCFF"/>
              </a:solidFill>
            </c:spPr>
          </c:dPt>
          <c:dPt>
            <c:idx val="5"/>
            <c:bubble3D val="0"/>
            <c:spPr>
              <a:solidFill>
                <a:srgbClr val="FFFF00"/>
              </a:solidFill>
            </c:spPr>
          </c:dPt>
          <c:cat>
            <c:strRef>
              <c:f>'Other Graphs'!$D$47:$J$47</c:f>
              <c:strCache>
                <c:ptCount val="7"/>
                <c:pt idx="0">
                  <c:v>Coal</c:v>
                </c:pt>
                <c:pt idx="1">
                  <c:v>Methane</c:v>
                </c:pt>
                <c:pt idx="2">
                  <c:v>Nuke</c:v>
                </c:pt>
                <c:pt idx="3">
                  <c:v>Other</c:v>
                </c:pt>
                <c:pt idx="4">
                  <c:v>Hydro</c:v>
                </c:pt>
                <c:pt idx="5">
                  <c:v>Wind</c:v>
                </c:pt>
                <c:pt idx="6">
                  <c:v>Solar</c:v>
                </c:pt>
              </c:strCache>
            </c:strRef>
          </c:cat>
          <c:val>
            <c:numRef>
              <c:f>'Other Graphs'!$D$59:$J$59</c:f>
              <c:numCache>
                <c:formatCode>0%</c:formatCode>
                <c:ptCount val="7"/>
                <c:pt idx="0">
                  <c:v>0.0916710319539025</c:v>
                </c:pt>
                <c:pt idx="1">
                  <c:v>0.390256678889471</c:v>
                </c:pt>
                <c:pt idx="2">
                  <c:v>0.201414353064432</c:v>
                </c:pt>
                <c:pt idx="3">
                  <c:v>0.0316919853326349</c:v>
                </c:pt>
                <c:pt idx="4">
                  <c:v>0.07124148768989</c:v>
                </c:pt>
                <c:pt idx="5">
                  <c:v>0.115505500261917</c:v>
                </c:pt>
                <c:pt idx="6">
                  <c:v>0.0982189628077527</c:v>
                </c:pt>
              </c:numCache>
            </c:numRef>
          </c:val>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wMode val="edge"/>
          <c:hMode val="edge"/>
          <c:x val="0.687842368986173"/>
          <c:y val="0.116703008277812"/>
          <c:w val="0.966045975712366"/>
          <c:h val="0.898614173228347"/>
        </c:manualLayout>
      </c:layout>
      <c:overlay val="0"/>
      <c:txPr>
        <a:bodyPr/>
        <a:lstStyle/>
        <a:p>
          <a:pPr>
            <a:defRPr sz="1160" b="1" i="0" u="none" strike="noStrike" baseline="0">
              <a:solidFill>
                <a:srgbClr val="000000"/>
              </a:solidFill>
              <a:latin typeface="Calibri"/>
              <a:ea typeface="Calibri"/>
              <a:cs typeface="Calibri"/>
            </a:defRPr>
          </a:pPr>
          <a:endParaRPr lang="en-US"/>
        </a:p>
      </c:txPr>
    </c:legend>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 l="0.700000000000001" r="0.700000000000001" t="0.750000000000001"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t>U.S. Electricity Generation</a:t>
            </a:r>
          </a:p>
        </c:rich>
      </c:tx>
      <c:layout>
        <c:manualLayout>
          <c:xMode val="edge"/>
          <c:yMode val="edge"/>
          <c:x val="0.209776791860408"/>
          <c:y val="0.0564721402012248"/>
        </c:manualLayout>
      </c:layout>
      <c:overlay val="0"/>
      <c:spPr>
        <a:noFill/>
        <a:ln w="25400">
          <a:noFill/>
        </a:ln>
      </c:spPr>
    </c:title>
    <c:autoTitleDeleted val="0"/>
    <c:plotArea>
      <c:layout>
        <c:manualLayout>
          <c:layoutTarget val="inner"/>
          <c:xMode val="edge"/>
          <c:yMode val="edge"/>
          <c:x val="0.131802667319154"/>
          <c:y val="0.112129776881338"/>
          <c:w val="0.663095394581406"/>
          <c:h val="0.87481448175524"/>
        </c:manualLayout>
      </c:layout>
      <c:barChart>
        <c:barDir val="col"/>
        <c:grouping val="stacked"/>
        <c:varyColors val="0"/>
        <c:ser>
          <c:idx val="1"/>
          <c:order val="0"/>
          <c:tx>
            <c:strRef>
              <c:f>'Other Graphs'!$B$103:$C$103</c:f>
              <c:strCache>
                <c:ptCount val="1"/>
                <c:pt idx="0">
                  <c:v>Coal</c:v>
                </c:pt>
              </c:strCache>
            </c:strRef>
          </c:tx>
          <c:spPr>
            <a:solidFill>
              <a:schemeClr val="tx1"/>
            </a:solidFill>
          </c:spPr>
          <c:invertIfNegative val="0"/>
          <c:cat>
            <c:strRef>
              <c:f>'Other Graphs'!$D$102:$G$102</c:f>
              <c:strCache>
                <c:ptCount val="4"/>
                <c:pt idx="0">
                  <c:v>2012</c:v>
                </c:pt>
                <c:pt idx="1">
                  <c:v>2023NoTax</c:v>
                </c:pt>
                <c:pt idx="2">
                  <c:v>2023Tax#1</c:v>
                </c:pt>
                <c:pt idx="3">
                  <c:v>2023Tax#2</c:v>
                </c:pt>
              </c:strCache>
            </c:strRef>
          </c:cat>
          <c:val>
            <c:numRef>
              <c:f>'Other Graphs'!$D$103:$G$103</c:f>
              <c:numCache>
                <c:formatCode>0</c:formatCode>
                <c:ptCount val="4"/>
                <c:pt idx="0">
                  <c:v>1517.0</c:v>
                </c:pt>
                <c:pt idx="1">
                  <c:v>1240.0</c:v>
                </c:pt>
                <c:pt idx="2">
                  <c:v>600.0</c:v>
                </c:pt>
                <c:pt idx="3">
                  <c:v>350.0</c:v>
                </c:pt>
              </c:numCache>
            </c:numRef>
          </c:val>
        </c:ser>
        <c:ser>
          <c:idx val="9"/>
          <c:order val="1"/>
          <c:tx>
            <c:strRef>
              <c:f>'Other Graphs'!$B$104:$C$104</c:f>
              <c:strCache>
                <c:ptCount val="1"/>
                <c:pt idx="0">
                  <c:v>Methane</c:v>
                </c:pt>
              </c:strCache>
            </c:strRef>
          </c:tx>
          <c:spPr>
            <a:solidFill>
              <a:schemeClr val="accent6">
                <a:lumMod val="50000"/>
              </a:schemeClr>
            </a:solidFill>
          </c:spPr>
          <c:invertIfNegative val="0"/>
          <c:cat>
            <c:strRef>
              <c:f>'Other Graphs'!$D$102:$G$102</c:f>
              <c:strCache>
                <c:ptCount val="4"/>
                <c:pt idx="0">
                  <c:v>2012</c:v>
                </c:pt>
                <c:pt idx="1">
                  <c:v>2023NoTax</c:v>
                </c:pt>
                <c:pt idx="2">
                  <c:v>2023Tax#1</c:v>
                </c:pt>
                <c:pt idx="3">
                  <c:v>2023Tax#2</c:v>
                </c:pt>
              </c:strCache>
            </c:strRef>
          </c:cat>
          <c:val>
            <c:numRef>
              <c:f>'Other Graphs'!$D$104:$G$104</c:f>
              <c:numCache>
                <c:formatCode>0</c:formatCode>
                <c:ptCount val="4"/>
                <c:pt idx="0">
                  <c:v>1231.0</c:v>
                </c:pt>
                <c:pt idx="1">
                  <c:v>2000.0</c:v>
                </c:pt>
                <c:pt idx="2">
                  <c:v>840.0</c:v>
                </c:pt>
                <c:pt idx="3">
                  <c:v>1490.0</c:v>
                </c:pt>
              </c:numCache>
            </c:numRef>
          </c:val>
        </c:ser>
        <c:ser>
          <c:idx val="7"/>
          <c:order val="2"/>
          <c:tx>
            <c:strRef>
              <c:f>'Other Graphs'!$B$105:$C$105</c:f>
              <c:strCache>
                <c:ptCount val="1"/>
                <c:pt idx="0">
                  <c:v>Nuke</c:v>
                </c:pt>
              </c:strCache>
            </c:strRef>
          </c:tx>
          <c:spPr>
            <a:solidFill>
              <a:srgbClr val="FF0000"/>
            </a:solidFill>
          </c:spPr>
          <c:invertIfNegative val="0"/>
          <c:cat>
            <c:strRef>
              <c:f>'Other Graphs'!$D$102:$G$102</c:f>
              <c:strCache>
                <c:ptCount val="4"/>
                <c:pt idx="0">
                  <c:v>2012</c:v>
                </c:pt>
                <c:pt idx="1">
                  <c:v>2023NoTax</c:v>
                </c:pt>
                <c:pt idx="2">
                  <c:v>2023Tax#1</c:v>
                </c:pt>
                <c:pt idx="3">
                  <c:v>2023Tax#2</c:v>
                </c:pt>
              </c:strCache>
            </c:strRef>
          </c:cat>
          <c:val>
            <c:numRef>
              <c:f>'Other Graphs'!$D$105:$G$105</c:f>
              <c:numCache>
                <c:formatCode>0</c:formatCode>
                <c:ptCount val="4"/>
                <c:pt idx="0">
                  <c:v>769.0</c:v>
                </c:pt>
                <c:pt idx="1">
                  <c:v>769.0</c:v>
                </c:pt>
                <c:pt idx="2">
                  <c:v>769.0</c:v>
                </c:pt>
                <c:pt idx="3">
                  <c:v>769.0</c:v>
                </c:pt>
              </c:numCache>
            </c:numRef>
          </c:val>
        </c:ser>
        <c:ser>
          <c:idx val="6"/>
          <c:order val="3"/>
          <c:tx>
            <c:strRef>
              <c:f>'Other Graphs'!$B$106:$C$106</c:f>
              <c:strCache>
                <c:ptCount val="1"/>
                <c:pt idx="0">
                  <c:v>Other</c:v>
                </c:pt>
              </c:strCache>
            </c:strRef>
          </c:tx>
          <c:spPr>
            <a:solidFill>
              <a:srgbClr val="7030A0"/>
            </a:solidFill>
          </c:spPr>
          <c:invertIfNegative val="0"/>
          <c:cat>
            <c:strRef>
              <c:f>'Other Graphs'!$D$102:$G$102</c:f>
              <c:strCache>
                <c:ptCount val="4"/>
                <c:pt idx="0">
                  <c:v>2012</c:v>
                </c:pt>
                <c:pt idx="1">
                  <c:v>2023NoTax</c:v>
                </c:pt>
                <c:pt idx="2">
                  <c:v>2023Tax#1</c:v>
                </c:pt>
                <c:pt idx="3">
                  <c:v>2023Tax#2</c:v>
                </c:pt>
              </c:strCache>
            </c:strRef>
          </c:cat>
          <c:val>
            <c:numRef>
              <c:f>'Other Graphs'!$D$106:$G$106</c:f>
              <c:numCache>
                <c:formatCode>0</c:formatCode>
                <c:ptCount val="4"/>
                <c:pt idx="0">
                  <c:v>121.0</c:v>
                </c:pt>
                <c:pt idx="1">
                  <c:v>121.0</c:v>
                </c:pt>
                <c:pt idx="2">
                  <c:v>121.0</c:v>
                </c:pt>
                <c:pt idx="3">
                  <c:v>121.0</c:v>
                </c:pt>
              </c:numCache>
            </c:numRef>
          </c:val>
        </c:ser>
        <c:ser>
          <c:idx val="0"/>
          <c:order val="4"/>
          <c:tx>
            <c:strRef>
              <c:f>'Other Graphs'!$B$107:$C$107</c:f>
              <c:strCache>
                <c:ptCount val="1"/>
                <c:pt idx="0">
                  <c:v>Hydro</c:v>
                </c:pt>
              </c:strCache>
            </c:strRef>
          </c:tx>
          <c:spPr>
            <a:solidFill>
              <a:srgbClr val="00FF00"/>
            </a:solidFill>
            <a:ln w="25400">
              <a:noFill/>
            </a:ln>
          </c:spPr>
          <c:invertIfNegative val="0"/>
          <c:cat>
            <c:strRef>
              <c:f>'Other Graphs'!$D$102:$G$102</c:f>
              <c:strCache>
                <c:ptCount val="4"/>
                <c:pt idx="0">
                  <c:v>2012</c:v>
                </c:pt>
                <c:pt idx="1">
                  <c:v>2023NoTax</c:v>
                </c:pt>
                <c:pt idx="2">
                  <c:v>2023Tax#1</c:v>
                </c:pt>
                <c:pt idx="3">
                  <c:v>2023Tax#2</c:v>
                </c:pt>
              </c:strCache>
            </c:strRef>
          </c:cat>
          <c:val>
            <c:numRef>
              <c:f>'Other Graphs'!$D$107:$G$107</c:f>
              <c:numCache>
                <c:formatCode>0</c:formatCode>
                <c:ptCount val="4"/>
                <c:pt idx="0">
                  <c:v>272.0</c:v>
                </c:pt>
                <c:pt idx="1">
                  <c:v>272.0</c:v>
                </c:pt>
                <c:pt idx="2">
                  <c:v>272.0</c:v>
                </c:pt>
                <c:pt idx="3">
                  <c:v>272.0</c:v>
                </c:pt>
              </c:numCache>
            </c:numRef>
          </c:val>
        </c:ser>
        <c:ser>
          <c:idx val="8"/>
          <c:order val="5"/>
          <c:tx>
            <c:strRef>
              <c:f>'Other Graphs'!$B$108:$C$108</c:f>
              <c:strCache>
                <c:ptCount val="1"/>
                <c:pt idx="0">
                  <c:v>Wind</c:v>
                </c:pt>
              </c:strCache>
            </c:strRef>
          </c:tx>
          <c:spPr>
            <a:solidFill>
              <a:srgbClr val="00CCFF"/>
            </a:solidFill>
          </c:spPr>
          <c:invertIfNegative val="0"/>
          <c:cat>
            <c:strRef>
              <c:f>'Other Graphs'!$D$102:$G$102</c:f>
              <c:strCache>
                <c:ptCount val="4"/>
                <c:pt idx="0">
                  <c:v>2012</c:v>
                </c:pt>
                <c:pt idx="1">
                  <c:v>2023NoTax</c:v>
                </c:pt>
                <c:pt idx="2">
                  <c:v>2023Tax#1</c:v>
                </c:pt>
                <c:pt idx="3">
                  <c:v>2023Tax#2</c:v>
                </c:pt>
              </c:strCache>
            </c:strRef>
          </c:cat>
          <c:val>
            <c:numRef>
              <c:f>'Other Graphs'!$D$108:$G$108</c:f>
              <c:numCache>
                <c:formatCode>0</c:formatCode>
                <c:ptCount val="4"/>
                <c:pt idx="0">
                  <c:v>140.0</c:v>
                </c:pt>
                <c:pt idx="1">
                  <c:v>326.0</c:v>
                </c:pt>
                <c:pt idx="2">
                  <c:v>1040.0</c:v>
                </c:pt>
                <c:pt idx="3">
                  <c:v>441.0</c:v>
                </c:pt>
              </c:numCache>
            </c:numRef>
          </c:val>
        </c:ser>
        <c:ser>
          <c:idx val="3"/>
          <c:order val="6"/>
          <c:tx>
            <c:strRef>
              <c:f>'Other Graphs'!$B$109:$C$109</c:f>
              <c:strCache>
                <c:ptCount val="1"/>
                <c:pt idx="0">
                  <c:v>Solar</c:v>
                </c:pt>
              </c:strCache>
            </c:strRef>
          </c:tx>
          <c:spPr>
            <a:solidFill>
              <a:srgbClr val="FFFF00"/>
            </a:solidFill>
          </c:spPr>
          <c:invertIfNegative val="0"/>
          <c:cat>
            <c:strRef>
              <c:f>'Other Graphs'!$D$102:$G$102</c:f>
              <c:strCache>
                <c:ptCount val="4"/>
                <c:pt idx="0">
                  <c:v>2012</c:v>
                </c:pt>
                <c:pt idx="1">
                  <c:v>2023NoTax</c:v>
                </c:pt>
                <c:pt idx="2">
                  <c:v>2023Tax#1</c:v>
                </c:pt>
                <c:pt idx="3">
                  <c:v>2023Tax#2</c:v>
                </c:pt>
              </c:strCache>
            </c:strRef>
          </c:cat>
          <c:val>
            <c:numRef>
              <c:f>'Other Graphs'!$D$109:$G$109</c:f>
              <c:numCache>
                <c:formatCode>0</c:formatCode>
                <c:ptCount val="4"/>
                <c:pt idx="0">
                  <c:v>4.34</c:v>
                </c:pt>
                <c:pt idx="1">
                  <c:v>66.0</c:v>
                </c:pt>
                <c:pt idx="2">
                  <c:v>176.0</c:v>
                </c:pt>
                <c:pt idx="3">
                  <c:v>375.0</c:v>
                </c:pt>
              </c:numCache>
            </c:numRef>
          </c:val>
        </c:ser>
        <c:dLbls>
          <c:showLegendKey val="0"/>
          <c:showVal val="0"/>
          <c:showCatName val="0"/>
          <c:showSerName val="0"/>
          <c:showPercent val="0"/>
          <c:showBubbleSize val="0"/>
        </c:dLbls>
        <c:gapWidth val="150"/>
        <c:overlap val="100"/>
        <c:axId val="633479992"/>
        <c:axId val="633476664"/>
      </c:barChart>
      <c:catAx>
        <c:axId val="6334799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50" b="1" i="0" u="none" strike="noStrike" baseline="0">
                <a:solidFill>
                  <a:srgbClr val="000000"/>
                </a:solidFill>
                <a:latin typeface="Arial"/>
                <a:ea typeface="Arial"/>
                <a:cs typeface="Arial"/>
              </a:defRPr>
            </a:pPr>
            <a:endParaRPr lang="en-US"/>
          </a:p>
        </c:txPr>
        <c:crossAx val="633476664"/>
        <c:crosses val="autoZero"/>
        <c:auto val="1"/>
        <c:lblAlgn val="ctr"/>
        <c:lblOffset val="100"/>
        <c:tickLblSkip val="1"/>
        <c:tickMarkSkip val="1"/>
        <c:noMultiLvlLbl val="0"/>
      </c:catAx>
      <c:valAx>
        <c:axId val="633476664"/>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t>TWh</a:t>
                </a:r>
              </a:p>
            </c:rich>
          </c:tx>
          <c:layout>
            <c:manualLayout>
              <c:xMode val="edge"/>
              <c:yMode val="edge"/>
              <c:x val="0.00753427395179664"/>
              <c:y val="0.45986917650918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1" i="0" u="none" strike="noStrike" baseline="0">
                <a:solidFill>
                  <a:srgbClr val="000000"/>
                </a:solidFill>
                <a:latin typeface="Arial"/>
                <a:ea typeface="Arial"/>
                <a:cs typeface="Arial"/>
              </a:defRPr>
            </a:pPr>
            <a:endParaRPr lang="en-US"/>
          </a:p>
        </c:txPr>
        <c:crossAx val="633479992"/>
        <c:crosses val="autoZero"/>
        <c:crossBetween val="between"/>
      </c:valAx>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plotArea>
    <c:legend>
      <c:legendPos val="r"/>
      <c:layout>
        <c:manualLayout>
          <c:xMode val="edge"/>
          <c:yMode val="edge"/>
          <c:wMode val="edge"/>
          <c:hMode val="edge"/>
          <c:x val="0.824486723423531"/>
          <c:y val="0.101172216754156"/>
          <c:w val="0.982565028356226"/>
          <c:h val="0.925354740813648"/>
        </c:manualLayout>
      </c:layout>
      <c:overlay val="1"/>
      <c:spPr>
        <a:solidFill>
          <a:schemeClr val="bg1"/>
        </a:solidFill>
        <a:ln w="3175">
          <a:solidFill>
            <a:srgbClr val="000000"/>
          </a:solidFill>
          <a:prstDash val="solid"/>
        </a:ln>
      </c:spPr>
      <c:txPr>
        <a:bodyPr/>
        <a:lstStyle/>
        <a:p>
          <a:pPr>
            <a:defRPr sz="925" b="1"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0" l="0.750000000000015" r="0.750000000000015" t="1.0" header="0.5" footer="0.5"/>
    <c:pageSetup orientation="landscape" horizontalDpi="300" verticalDpi="3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t>10th-Yr Larson Tax Impact, Electricity Sector</a:t>
            </a:r>
          </a:p>
        </c:rich>
      </c:tx>
      <c:layout>
        <c:manualLayout>
          <c:xMode val="edge"/>
          <c:yMode val="edge"/>
          <c:x val="0.113488739439485"/>
          <c:y val="0.0494003927475168"/>
        </c:manualLayout>
      </c:layout>
      <c:overlay val="0"/>
    </c:title>
    <c:autoTitleDeleted val="0"/>
    <c:plotArea>
      <c:layout>
        <c:manualLayout>
          <c:layoutTarget val="inner"/>
          <c:xMode val="edge"/>
          <c:yMode val="edge"/>
          <c:x val="0.0785360909170242"/>
          <c:y val="0.296031526318576"/>
          <c:w val="0.306434943713877"/>
          <c:h val="0.5528403185913"/>
        </c:manualLayout>
      </c:layout>
      <c:barChart>
        <c:barDir val="col"/>
        <c:grouping val="stacked"/>
        <c:varyColors val="0"/>
        <c:ser>
          <c:idx val="1"/>
          <c:order val="0"/>
          <c:tx>
            <c:v>CO2 Emissions with Carbon Tax</c:v>
          </c:tx>
          <c:spPr>
            <a:solidFill>
              <a:srgbClr val="FF0000"/>
            </a:solidFill>
          </c:spPr>
          <c:invertIfNegative val="0"/>
          <c:dLbls>
            <c:dLbl>
              <c:idx val="0"/>
              <c:layout>
                <c:manualLayout>
                  <c:x val="0.0"/>
                  <c:y val="-0.00811267444028513"/>
                </c:manualLayout>
              </c:layout>
              <c:tx>
                <c:rich>
                  <a:bodyPr/>
                  <a:lstStyle/>
                  <a:p>
                    <a:pPr>
                      <a:defRPr sz="1600" b="1" i="0" u="none" strike="noStrike" baseline="0">
                        <a:solidFill>
                          <a:srgbClr val="000000"/>
                        </a:solidFill>
                        <a:latin typeface="Calibri"/>
                        <a:ea typeface="Calibri"/>
                        <a:cs typeface="Calibri"/>
                      </a:defRPr>
                    </a:pPr>
                    <a:r>
                      <a:t> 963 </a:t>
                    </a:r>
                  </a:p>
                </c:rich>
              </c:tx>
              <c:spPr/>
              <c:dLblPos val="ctr"/>
              <c:showLegendKey val="0"/>
              <c:showVal val="0"/>
              <c:showCatName val="0"/>
              <c:showSerName val="0"/>
              <c:showPercent val="0"/>
              <c:showBubbleSize val="0"/>
            </c:dLbl>
            <c:txPr>
              <a:bodyPr/>
              <a:lstStyle/>
              <a:p>
                <a:pPr>
                  <a:defRPr sz="11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dLbls>
          <c:cat>
            <c:numRef>
              <c:f>'Other Graphs'!$B$166</c:f>
              <c:numCache>
                <c:formatCode>General</c:formatCode>
                <c:ptCount val="1"/>
              </c:numCache>
            </c:numRef>
          </c:cat>
          <c:val>
            <c:numRef>
              <c:f>Graph_CO2!$Z$56</c:f>
              <c:numCache>
                <c:formatCode>_(* #,##0_);_(* \(#,##0\);_(* "-"??_);_(@_)</c:formatCode>
                <c:ptCount val="1"/>
                <c:pt idx="0">
                  <c:v>1423.815891367754</c:v>
                </c:pt>
              </c:numCache>
            </c:numRef>
          </c:val>
        </c:ser>
        <c:ser>
          <c:idx val="0"/>
          <c:order val="1"/>
          <c:tx>
            <c:v>Reductions from Conservation</c:v>
          </c:tx>
          <c:spPr>
            <a:solidFill>
              <a:srgbClr val="00FF00"/>
            </a:solidFill>
          </c:spPr>
          <c:invertIfNegative val="0"/>
          <c:dLbls>
            <c:dLbl>
              <c:idx val="0"/>
              <c:layout>
                <c:manualLayout>
                  <c:x val="-0.00163158176656489"/>
                  <c:y val="0.0016224712857968"/>
                </c:manualLayout>
              </c:layout>
              <c:tx>
                <c:rich>
                  <a:bodyPr/>
                  <a:lstStyle/>
                  <a:p>
                    <a:pPr>
                      <a:defRPr sz="1600" b="1" i="0" u="none" strike="noStrike" baseline="0">
                        <a:solidFill>
                          <a:srgbClr val="000000"/>
                        </a:solidFill>
                        <a:latin typeface="Calibri"/>
                        <a:ea typeface="Calibri"/>
                        <a:cs typeface="Calibri"/>
                      </a:defRPr>
                    </a:pPr>
                    <a:r>
                      <a:t> 361 </a:t>
                    </a:r>
                  </a:p>
                </c:rich>
              </c:tx>
              <c:spPr/>
              <c:dLblPos val="ctr"/>
              <c:showLegendKey val="0"/>
              <c:showVal val="0"/>
              <c:showCatName val="0"/>
              <c:showSerName val="0"/>
              <c:showPercent val="0"/>
              <c:showBubbleSize val="0"/>
            </c:dLbl>
            <c:dLbl>
              <c:idx val="3"/>
              <c:layout>
                <c:manualLayout>
                  <c:x val="0.0"/>
                  <c:y val="-0.00970873786407767"/>
                </c:manualLayout>
              </c:layout>
              <c:dLblPos val="ctr"/>
              <c:showLegendKey val="0"/>
              <c:showVal val="1"/>
              <c:showCatName val="0"/>
              <c:showSerName val="0"/>
              <c:showPercent val="0"/>
              <c:showBubbleSize val="0"/>
            </c:dLbl>
            <c:txPr>
              <a:bodyPr/>
              <a:lstStyle/>
              <a:p>
                <a:pPr>
                  <a:defRPr sz="11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dLbls>
          <c:cat>
            <c:numRef>
              <c:f>'Other Graphs'!$B$166</c:f>
              <c:numCache>
                <c:formatCode>General</c:formatCode>
                <c:ptCount val="1"/>
              </c:numCache>
            </c:numRef>
          </c:cat>
          <c:val>
            <c:numRef>
              <c:f>'Other Graphs'!$E$162</c:f>
              <c:numCache>
                <c:formatCode>0</c:formatCode>
                <c:ptCount val="1"/>
                <c:pt idx="0">
                  <c:v>245.0426127459672</c:v>
                </c:pt>
              </c:numCache>
            </c:numRef>
          </c:val>
        </c:ser>
        <c:ser>
          <c:idx val="2"/>
          <c:order val="2"/>
          <c:tx>
            <c:v>Reductions from Decarbonization</c:v>
          </c:tx>
          <c:spPr>
            <a:solidFill>
              <a:srgbClr val="FFFF00"/>
            </a:solidFill>
          </c:spPr>
          <c:invertIfNegative val="0"/>
          <c:dLbls>
            <c:dLbl>
              <c:idx val="0"/>
              <c:layout>
                <c:manualLayout>
                  <c:x val="0.00341005967604433"/>
                  <c:y val="0.0"/>
                </c:manualLayout>
              </c:layout>
              <c:tx>
                <c:rich>
                  <a:bodyPr/>
                  <a:lstStyle/>
                  <a:p>
                    <a:pPr>
                      <a:defRPr sz="1600" b="1" i="0" u="none" strike="noStrike" baseline="0">
                        <a:solidFill>
                          <a:srgbClr val="000000"/>
                        </a:solidFill>
                        <a:latin typeface="Calibri"/>
                        <a:ea typeface="Calibri"/>
                        <a:cs typeface="Calibri"/>
                      </a:defRPr>
                    </a:pPr>
                    <a:r>
                      <a:t>724</a:t>
                    </a:r>
                  </a:p>
                </c:rich>
              </c:tx>
              <c:spPr/>
              <c:dLblPos val="ctr"/>
              <c:showLegendKey val="0"/>
              <c:showVal val="0"/>
              <c:showCatName val="0"/>
              <c:showSerName val="0"/>
              <c:showPercent val="0"/>
              <c:showBubbleSize val="0"/>
            </c:dLbl>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dLbls>
          <c:cat>
            <c:numRef>
              <c:f>'Other Graphs'!$B$166</c:f>
              <c:numCache>
                <c:formatCode>General</c:formatCode>
                <c:ptCount val="1"/>
              </c:numCache>
            </c:numRef>
          </c:cat>
          <c:val>
            <c:numRef>
              <c:f>'Other Graphs'!$E$161</c:f>
              <c:numCache>
                <c:formatCode>0</c:formatCode>
                <c:ptCount val="1"/>
                <c:pt idx="0">
                  <c:v>380.0165709960189</c:v>
                </c:pt>
              </c:numCache>
            </c:numRef>
          </c:val>
        </c:ser>
        <c:dLbls>
          <c:showLegendKey val="0"/>
          <c:showVal val="1"/>
          <c:showCatName val="0"/>
          <c:showSerName val="0"/>
          <c:showPercent val="0"/>
          <c:showBubbleSize val="0"/>
        </c:dLbls>
        <c:gapWidth val="95"/>
        <c:overlap val="100"/>
        <c:axId val="633398072"/>
        <c:axId val="633394904"/>
      </c:barChart>
      <c:catAx>
        <c:axId val="633398072"/>
        <c:scaling>
          <c:orientation val="minMax"/>
        </c:scaling>
        <c:delete val="0"/>
        <c:axPos val="b"/>
        <c:numFmt formatCode="General" sourceLinked="1"/>
        <c:majorTickMark val="none"/>
        <c:minorTickMark val="none"/>
        <c:tickLblPos val="nextTo"/>
        <c:txPr>
          <a:bodyPr rot="0" vert="horz"/>
          <a:lstStyle/>
          <a:p>
            <a:pPr>
              <a:defRPr sz="1400" b="1" i="0" u="none" strike="noStrike" baseline="0">
                <a:solidFill>
                  <a:srgbClr val="000000"/>
                </a:solidFill>
                <a:latin typeface="Calibri"/>
                <a:ea typeface="Calibri"/>
                <a:cs typeface="Calibri"/>
              </a:defRPr>
            </a:pPr>
            <a:endParaRPr lang="en-US"/>
          </a:p>
        </c:txPr>
        <c:crossAx val="633394904"/>
        <c:crosses val="autoZero"/>
        <c:auto val="1"/>
        <c:lblAlgn val="ctr"/>
        <c:lblOffset val="100"/>
        <c:noMultiLvlLbl val="0"/>
      </c:catAx>
      <c:valAx>
        <c:axId val="633394904"/>
        <c:scaling>
          <c:orientation val="minMax"/>
          <c:max val="2000.0"/>
        </c:scaling>
        <c:delete val="0"/>
        <c:axPos val="l"/>
        <c:numFmt formatCode="_(* #,##0_);_(* \(#,##0\);_(* &quot;-&quot;??_);_(@_)" sourceLinked="1"/>
        <c:majorTickMark val="out"/>
        <c:minorTickMark val="none"/>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n-US"/>
          </a:p>
        </c:txPr>
        <c:crossAx val="633398072"/>
        <c:crosses val="autoZero"/>
        <c:crossBetween val="between"/>
        <c:majorUnit val="1000.0"/>
      </c:valAx>
    </c:plotArea>
    <c:legend>
      <c:legendPos val="r"/>
      <c:legendEntry>
        <c:idx val="0"/>
        <c:txPr>
          <a:bodyPr/>
          <a:lstStyle/>
          <a:p>
            <a:pPr>
              <a:defRPr sz="925" b="1" i="0" u="none" strike="noStrike" baseline="0">
                <a:solidFill>
                  <a:srgbClr val="000000"/>
                </a:solidFill>
                <a:latin typeface="Calibri"/>
                <a:ea typeface="Calibri"/>
                <a:cs typeface="Calibri"/>
              </a:defRPr>
            </a:pPr>
            <a:endParaRPr lang="en-US"/>
          </a:p>
        </c:txPr>
      </c:legendEntry>
      <c:legendEntry>
        <c:idx val="1"/>
        <c:txPr>
          <a:bodyPr/>
          <a:lstStyle/>
          <a:p>
            <a:pPr>
              <a:defRPr sz="925" b="1" i="0" u="none" strike="noStrike" baseline="0">
                <a:solidFill>
                  <a:srgbClr val="000000"/>
                </a:solidFill>
                <a:latin typeface="Calibri"/>
                <a:ea typeface="Calibri"/>
                <a:cs typeface="Calibri"/>
              </a:defRPr>
            </a:pPr>
            <a:endParaRPr lang="en-US"/>
          </a:p>
        </c:txPr>
      </c:legendEntry>
      <c:layout>
        <c:manualLayout>
          <c:xMode val="edge"/>
          <c:yMode val="edge"/>
          <c:wMode val="edge"/>
          <c:hMode val="edge"/>
          <c:x val="0.501392910992508"/>
          <c:y val="0.236645631160512"/>
          <c:w val="0.96657412504288"/>
          <c:h val="0.854681194511703"/>
        </c:manualLayout>
      </c:layout>
      <c:overlay val="0"/>
      <c:txPr>
        <a:bodyPr/>
        <a:lstStyle/>
        <a:p>
          <a:pPr>
            <a:defRPr sz="925" b="1"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 l="0.700000000000001" r="0.700000000000001" t="0.750000000000001" header="0.3" footer="0.3"/>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t>U.S. Electricity Generation, 2023</a:t>
            </a:r>
          </a:p>
        </c:rich>
      </c:tx>
      <c:layout>
        <c:manualLayout>
          <c:xMode val="edge"/>
          <c:yMode val="edge"/>
          <c:x val="0.230851029984888"/>
          <c:y val="0.0314169062200558"/>
        </c:manualLayout>
      </c:layout>
      <c:overlay val="0"/>
      <c:spPr>
        <a:noFill/>
        <a:ln w="25400">
          <a:noFill/>
        </a:ln>
      </c:spPr>
    </c:title>
    <c:autoTitleDeleted val="0"/>
    <c:plotArea>
      <c:layout>
        <c:manualLayout>
          <c:layoutTarget val="inner"/>
          <c:xMode val="edge"/>
          <c:yMode val="edge"/>
          <c:x val="0.13697064029787"/>
          <c:y val="0.0350137714267198"/>
          <c:w val="0.815600844012146"/>
          <c:h val="0.87481448175524"/>
        </c:manualLayout>
      </c:layout>
      <c:barChart>
        <c:barDir val="col"/>
        <c:grouping val="stacked"/>
        <c:varyColors val="0"/>
        <c:ser>
          <c:idx val="1"/>
          <c:order val="0"/>
          <c:tx>
            <c:strRef>
              <c:f>'Other Graphs'!$B$179:$D$179</c:f>
              <c:strCache>
                <c:ptCount val="1"/>
                <c:pt idx="0">
                  <c:v>Coal</c:v>
                </c:pt>
              </c:strCache>
            </c:strRef>
          </c:tx>
          <c:spPr>
            <a:solidFill>
              <a:schemeClr val="tx1"/>
            </a:solidFill>
          </c:spPr>
          <c:invertIfNegative val="0"/>
          <c:cat>
            <c:strRef>
              <c:f>'Other Graphs'!$E$178:$G$178</c:f>
              <c:strCache>
                <c:ptCount val="3"/>
                <c:pt idx="0">
                  <c:v>No Tax</c:v>
                </c:pt>
                <c:pt idx="1">
                  <c:v>Tax #1</c:v>
                </c:pt>
                <c:pt idx="2">
                  <c:v>Tax #2</c:v>
                </c:pt>
              </c:strCache>
            </c:strRef>
          </c:cat>
          <c:val>
            <c:numRef>
              <c:f>'Other Graphs'!$E$179:$G$179</c:f>
              <c:numCache>
                <c:formatCode>0</c:formatCode>
                <c:ptCount val="3"/>
                <c:pt idx="0">
                  <c:v>1240.0</c:v>
                </c:pt>
                <c:pt idx="1">
                  <c:v>600.0</c:v>
                </c:pt>
                <c:pt idx="2">
                  <c:v>350.0</c:v>
                </c:pt>
              </c:numCache>
            </c:numRef>
          </c:val>
        </c:ser>
        <c:ser>
          <c:idx val="9"/>
          <c:order val="1"/>
          <c:tx>
            <c:strRef>
              <c:f>'Other Graphs'!$B$180:$D$180</c:f>
              <c:strCache>
                <c:ptCount val="1"/>
                <c:pt idx="0">
                  <c:v>Methane</c:v>
                </c:pt>
              </c:strCache>
            </c:strRef>
          </c:tx>
          <c:spPr>
            <a:solidFill>
              <a:schemeClr val="accent6">
                <a:lumMod val="50000"/>
              </a:schemeClr>
            </a:solidFill>
          </c:spPr>
          <c:invertIfNegative val="0"/>
          <c:cat>
            <c:strRef>
              <c:f>'Other Graphs'!$E$178:$G$178</c:f>
              <c:strCache>
                <c:ptCount val="3"/>
                <c:pt idx="0">
                  <c:v>No Tax</c:v>
                </c:pt>
                <c:pt idx="1">
                  <c:v>Tax #1</c:v>
                </c:pt>
                <c:pt idx="2">
                  <c:v>Tax #2</c:v>
                </c:pt>
              </c:strCache>
            </c:strRef>
          </c:cat>
          <c:val>
            <c:numRef>
              <c:f>'Other Graphs'!$E$180:$G$180</c:f>
              <c:numCache>
                <c:formatCode>0</c:formatCode>
                <c:ptCount val="3"/>
                <c:pt idx="0">
                  <c:v>2000.0</c:v>
                </c:pt>
                <c:pt idx="1">
                  <c:v>840.0</c:v>
                </c:pt>
                <c:pt idx="2">
                  <c:v>1490.0</c:v>
                </c:pt>
              </c:numCache>
            </c:numRef>
          </c:val>
        </c:ser>
        <c:ser>
          <c:idx val="7"/>
          <c:order val="2"/>
          <c:tx>
            <c:strRef>
              <c:f>'Other Graphs'!$B$181:$D$181</c:f>
              <c:strCache>
                <c:ptCount val="1"/>
                <c:pt idx="0">
                  <c:v>Nuke</c:v>
                </c:pt>
              </c:strCache>
            </c:strRef>
          </c:tx>
          <c:spPr>
            <a:solidFill>
              <a:srgbClr val="FF0000"/>
            </a:solidFill>
          </c:spPr>
          <c:invertIfNegative val="0"/>
          <c:cat>
            <c:strRef>
              <c:f>'Other Graphs'!$E$178:$G$178</c:f>
              <c:strCache>
                <c:ptCount val="3"/>
                <c:pt idx="0">
                  <c:v>No Tax</c:v>
                </c:pt>
                <c:pt idx="1">
                  <c:v>Tax #1</c:v>
                </c:pt>
                <c:pt idx="2">
                  <c:v>Tax #2</c:v>
                </c:pt>
              </c:strCache>
            </c:strRef>
          </c:cat>
          <c:val>
            <c:numRef>
              <c:f>'Other Graphs'!$E$181:$G$181</c:f>
              <c:numCache>
                <c:formatCode>0</c:formatCode>
                <c:ptCount val="3"/>
                <c:pt idx="0">
                  <c:v>769.0</c:v>
                </c:pt>
                <c:pt idx="1">
                  <c:v>769.0</c:v>
                </c:pt>
                <c:pt idx="2">
                  <c:v>769.0</c:v>
                </c:pt>
              </c:numCache>
            </c:numRef>
          </c:val>
        </c:ser>
        <c:ser>
          <c:idx val="6"/>
          <c:order val="3"/>
          <c:tx>
            <c:strRef>
              <c:f>'Other Graphs'!$B$182:$D$182</c:f>
              <c:strCache>
                <c:ptCount val="1"/>
                <c:pt idx="0">
                  <c:v>Other</c:v>
                </c:pt>
              </c:strCache>
            </c:strRef>
          </c:tx>
          <c:spPr>
            <a:solidFill>
              <a:srgbClr val="7030A0"/>
            </a:solidFill>
          </c:spPr>
          <c:invertIfNegative val="0"/>
          <c:cat>
            <c:strRef>
              <c:f>'Other Graphs'!$E$178:$G$178</c:f>
              <c:strCache>
                <c:ptCount val="3"/>
                <c:pt idx="0">
                  <c:v>No Tax</c:v>
                </c:pt>
                <c:pt idx="1">
                  <c:v>Tax #1</c:v>
                </c:pt>
                <c:pt idx="2">
                  <c:v>Tax #2</c:v>
                </c:pt>
              </c:strCache>
            </c:strRef>
          </c:cat>
          <c:val>
            <c:numRef>
              <c:f>'Other Graphs'!$E$182:$G$182</c:f>
              <c:numCache>
                <c:formatCode>0</c:formatCode>
                <c:ptCount val="3"/>
                <c:pt idx="0">
                  <c:v>121.0</c:v>
                </c:pt>
                <c:pt idx="1">
                  <c:v>121.0</c:v>
                </c:pt>
                <c:pt idx="2">
                  <c:v>121.0</c:v>
                </c:pt>
              </c:numCache>
            </c:numRef>
          </c:val>
        </c:ser>
        <c:ser>
          <c:idx val="0"/>
          <c:order val="4"/>
          <c:tx>
            <c:strRef>
              <c:f>'Other Graphs'!$B$183:$D$183</c:f>
              <c:strCache>
                <c:ptCount val="1"/>
                <c:pt idx="0">
                  <c:v>Hydro</c:v>
                </c:pt>
              </c:strCache>
            </c:strRef>
          </c:tx>
          <c:spPr>
            <a:solidFill>
              <a:srgbClr val="00FF00"/>
            </a:solidFill>
            <a:ln w="25400">
              <a:noFill/>
            </a:ln>
          </c:spPr>
          <c:invertIfNegative val="0"/>
          <c:cat>
            <c:strRef>
              <c:f>'Other Graphs'!$E$178:$G$178</c:f>
              <c:strCache>
                <c:ptCount val="3"/>
                <c:pt idx="0">
                  <c:v>No Tax</c:v>
                </c:pt>
                <c:pt idx="1">
                  <c:v>Tax #1</c:v>
                </c:pt>
                <c:pt idx="2">
                  <c:v>Tax #2</c:v>
                </c:pt>
              </c:strCache>
            </c:strRef>
          </c:cat>
          <c:val>
            <c:numRef>
              <c:f>'Other Graphs'!$E$183:$G$183</c:f>
              <c:numCache>
                <c:formatCode>0</c:formatCode>
                <c:ptCount val="3"/>
                <c:pt idx="0">
                  <c:v>272.0</c:v>
                </c:pt>
                <c:pt idx="1">
                  <c:v>272.0</c:v>
                </c:pt>
                <c:pt idx="2">
                  <c:v>272.0</c:v>
                </c:pt>
              </c:numCache>
            </c:numRef>
          </c:val>
        </c:ser>
        <c:ser>
          <c:idx val="8"/>
          <c:order val="5"/>
          <c:tx>
            <c:strRef>
              <c:f>'Other Graphs'!$B$184:$D$184</c:f>
              <c:strCache>
                <c:ptCount val="1"/>
                <c:pt idx="0">
                  <c:v>Wind</c:v>
                </c:pt>
              </c:strCache>
            </c:strRef>
          </c:tx>
          <c:spPr>
            <a:solidFill>
              <a:srgbClr val="00CCFF"/>
            </a:solidFill>
          </c:spPr>
          <c:invertIfNegative val="0"/>
          <c:cat>
            <c:strRef>
              <c:f>'Other Graphs'!$E$178:$G$178</c:f>
              <c:strCache>
                <c:ptCount val="3"/>
                <c:pt idx="0">
                  <c:v>No Tax</c:v>
                </c:pt>
                <c:pt idx="1">
                  <c:v>Tax #1</c:v>
                </c:pt>
                <c:pt idx="2">
                  <c:v>Tax #2</c:v>
                </c:pt>
              </c:strCache>
            </c:strRef>
          </c:cat>
          <c:val>
            <c:numRef>
              <c:f>'Other Graphs'!$E$184:$G$184</c:f>
              <c:numCache>
                <c:formatCode>0</c:formatCode>
                <c:ptCount val="3"/>
                <c:pt idx="0">
                  <c:v>326.0</c:v>
                </c:pt>
                <c:pt idx="1">
                  <c:v>1040.0</c:v>
                </c:pt>
                <c:pt idx="2">
                  <c:v>441.0</c:v>
                </c:pt>
              </c:numCache>
            </c:numRef>
          </c:val>
        </c:ser>
        <c:ser>
          <c:idx val="3"/>
          <c:order val="6"/>
          <c:tx>
            <c:strRef>
              <c:f>'Other Graphs'!$B$185:$D$185</c:f>
              <c:strCache>
                <c:ptCount val="1"/>
                <c:pt idx="0">
                  <c:v>Solar</c:v>
                </c:pt>
              </c:strCache>
            </c:strRef>
          </c:tx>
          <c:spPr>
            <a:solidFill>
              <a:srgbClr val="FFFF00"/>
            </a:solidFill>
          </c:spPr>
          <c:invertIfNegative val="0"/>
          <c:cat>
            <c:strRef>
              <c:f>'Other Graphs'!$E$178:$G$178</c:f>
              <c:strCache>
                <c:ptCount val="3"/>
                <c:pt idx="0">
                  <c:v>No Tax</c:v>
                </c:pt>
                <c:pt idx="1">
                  <c:v>Tax #1</c:v>
                </c:pt>
                <c:pt idx="2">
                  <c:v>Tax #2</c:v>
                </c:pt>
              </c:strCache>
            </c:strRef>
          </c:cat>
          <c:val>
            <c:numRef>
              <c:f>'Other Graphs'!$E$185:$G$185</c:f>
              <c:numCache>
                <c:formatCode>0</c:formatCode>
                <c:ptCount val="3"/>
                <c:pt idx="0">
                  <c:v>66.0</c:v>
                </c:pt>
                <c:pt idx="1">
                  <c:v>176.0</c:v>
                </c:pt>
                <c:pt idx="2">
                  <c:v>375.0</c:v>
                </c:pt>
              </c:numCache>
            </c:numRef>
          </c:val>
        </c:ser>
        <c:dLbls>
          <c:showLegendKey val="0"/>
          <c:showVal val="0"/>
          <c:showCatName val="0"/>
          <c:showSerName val="0"/>
          <c:showPercent val="0"/>
          <c:showBubbleSize val="0"/>
        </c:dLbls>
        <c:gapWidth val="150"/>
        <c:overlap val="100"/>
        <c:axId val="634772024"/>
        <c:axId val="634775336"/>
      </c:barChart>
      <c:catAx>
        <c:axId val="634772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50" b="1" i="0" u="none" strike="noStrike" baseline="0">
                <a:solidFill>
                  <a:srgbClr val="000000"/>
                </a:solidFill>
                <a:latin typeface="Arial"/>
                <a:ea typeface="Arial"/>
                <a:cs typeface="Arial"/>
              </a:defRPr>
            </a:pPr>
            <a:endParaRPr lang="en-US"/>
          </a:p>
        </c:txPr>
        <c:crossAx val="634775336"/>
        <c:crosses val="autoZero"/>
        <c:auto val="1"/>
        <c:lblAlgn val="ctr"/>
        <c:lblOffset val="100"/>
        <c:tickLblSkip val="1"/>
        <c:tickMarkSkip val="1"/>
        <c:noMultiLvlLbl val="0"/>
      </c:catAx>
      <c:valAx>
        <c:axId val="634775336"/>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50" b="1" i="0" u="none" strike="noStrike" baseline="0">
                <a:solidFill>
                  <a:srgbClr val="000000"/>
                </a:solidFill>
                <a:latin typeface="Arial"/>
                <a:ea typeface="Arial"/>
                <a:cs typeface="Arial"/>
              </a:defRPr>
            </a:pPr>
            <a:endParaRPr lang="en-US"/>
          </a:p>
        </c:txPr>
        <c:crossAx val="634772024"/>
        <c:crosses val="autoZero"/>
        <c:crossBetween val="between"/>
      </c:valAx>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plotArea>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0" l="0.750000000000015" r="0.750000000000015" t="1.0" header="0.5" footer="0.5"/>
    <c:pageSetup orientation="landscape" horizontalDpi="300" verticalDpi="3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259884581735"/>
          <c:y val="0.0645498397314613"/>
          <c:w val="0.79976149311885"/>
          <c:h val="0.816655124752256"/>
        </c:manualLayout>
      </c:layout>
      <c:lineChart>
        <c:grouping val="standard"/>
        <c:varyColors val="0"/>
        <c:ser>
          <c:idx val="0"/>
          <c:order val="0"/>
          <c:tx>
            <c:v>Carbon Tax Revenue</c:v>
          </c:tx>
          <c:spPr>
            <a:ln w="12700">
              <a:solidFill>
                <a:srgbClr val="000080"/>
              </a:solidFill>
              <a:prstDash val="solid"/>
            </a:ln>
          </c:spPr>
          <c:marker>
            <c:symbol val="diamond"/>
            <c:size val="9"/>
            <c:spPr>
              <a:solidFill>
                <a:srgbClr val="FF0000"/>
              </a:solidFill>
              <a:ln>
                <a:solidFill>
                  <a:srgbClr val="000080"/>
                </a:solidFill>
                <a:prstDash val="solid"/>
              </a:ln>
            </c:spPr>
          </c:marker>
          <c:cat>
            <c:numRef>
              <c:f>Graph_Revenue!$I$5:$AE$5</c:f>
              <c:numCache>
                <c:formatCode>0</c:formatCode>
                <c:ptCount val="23"/>
                <c:pt idx="0">
                  <c:v>2015.0</c:v>
                </c:pt>
                <c:pt idx="1">
                  <c:v>2016.0</c:v>
                </c:pt>
                <c:pt idx="2">
                  <c:v>2017.0</c:v>
                </c:pt>
                <c:pt idx="3">
                  <c:v>2018.0</c:v>
                </c:pt>
                <c:pt idx="4">
                  <c:v>2019.0</c:v>
                </c:pt>
                <c:pt idx="5">
                  <c:v>2020.0</c:v>
                </c:pt>
                <c:pt idx="6">
                  <c:v>2021.0</c:v>
                </c:pt>
                <c:pt idx="7">
                  <c:v>2022.0</c:v>
                </c:pt>
                <c:pt idx="8">
                  <c:v>2023.0</c:v>
                </c:pt>
                <c:pt idx="9">
                  <c:v>2024.0</c:v>
                </c:pt>
                <c:pt idx="10">
                  <c:v>2025.0</c:v>
                </c:pt>
                <c:pt idx="11">
                  <c:v>2026.0</c:v>
                </c:pt>
                <c:pt idx="12">
                  <c:v>2027.0</c:v>
                </c:pt>
                <c:pt idx="13">
                  <c:v>2028.0</c:v>
                </c:pt>
                <c:pt idx="14">
                  <c:v>2029.0</c:v>
                </c:pt>
                <c:pt idx="15">
                  <c:v>2030.0</c:v>
                </c:pt>
                <c:pt idx="16">
                  <c:v>2031.0</c:v>
                </c:pt>
                <c:pt idx="17">
                  <c:v>2032.0</c:v>
                </c:pt>
                <c:pt idx="18">
                  <c:v>2033.0</c:v>
                </c:pt>
                <c:pt idx="19">
                  <c:v>2034.0</c:v>
                </c:pt>
                <c:pt idx="20">
                  <c:v>2035.0</c:v>
                </c:pt>
                <c:pt idx="21">
                  <c:v>2036.0</c:v>
                </c:pt>
                <c:pt idx="22">
                  <c:v>2037.0</c:v>
                </c:pt>
              </c:numCache>
            </c:numRef>
          </c:cat>
          <c:val>
            <c:numRef>
              <c:f>Graph_Revenue!$I$7:$AE$7</c:f>
              <c:numCache>
                <c:formatCode>"$"#,##0_);\("$"#,##0\)</c:formatCode>
                <c:ptCount val="23"/>
                <c:pt idx="0">
                  <c:v>362.4795701266298</c:v>
                </c:pt>
                <c:pt idx="1">
                  <c:v>371.0080874106498</c:v>
                </c:pt>
                <c:pt idx="2">
                  <c:v>379.9617619750452</c:v>
                </c:pt>
                <c:pt idx="3">
                  <c:v>389.041022389753</c:v>
                </c:pt>
                <c:pt idx="4">
                  <c:v>398.3463044233358</c:v>
                </c:pt>
                <c:pt idx="5">
                  <c:v>407.5780511639542</c:v>
                </c:pt>
                <c:pt idx="6">
                  <c:v>417.2367131423715</c:v>
                </c:pt>
                <c:pt idx="7">
                  <c:v>427.1227484570259</c:v>
                </c:pt>
                <c:pt idx="8">
                  <c:v>437.236622901203</c:v>
                </c:pt>
                <c:pt idx="9">
                  <c:v>447.678810092345</c:v>
                </c:pt>
                <c:pt idx="10">
                  <c:v>457.6497916035325</c:v>
                </c:pt>
                <c:pt idx="11">
                  <c:v>467.2901835472487</c:v>
                </c:pt>
                <c:pt idx="12">
                  <c:v>477.1396770403999</c:v>
                </c:pt>
                <c:pt idx="13">
                  <c:v>487.0983360612032</c:v>
                </c:pt>
                <c:pt idx="14">
                  <c:v>497.266226198375</c:v>
                </c:pt>
                <c:pt idx="15">
                  <c:v>507.6434146557578</c:v>
                </c:pt>
                <c:pt idx="16">
                  <c:v>518.129970256267</c:v>
                </c:pt>
                <c:pt idx="17">
                  <c:v>529.0259634451941</c:v>
                </c:pt>
                <c:pt idx="18">
                  <c:v>539.9314662928989</c:v>
                </c:pt>
                <c:pt idx="19">
                  <c:v>551.3465524969346</c:v>
                </c:pt>
                <c:pt idx="20">
                  <c:v>562.9712973836332</c:v>
                </c:pt>
                <c:pt idx="21">
                  <c:v>574.191045434434</c:v>
                </c:pt>
                <c:pt idx="22">
                  <c:v>585.9093021745827</c:v>
                </c:pt>
              </c:numCache>
            </c:numRef>
          </c:val>
          <c:smooth val="0"/>
        </c:ser>
        <c:ser>
          <c:idx val="1"/>
          <c:order val="1"/>
          <c:tx>
            <c:v>Per-HH Dividend</c:v>
          </c:tx>
          <c:marker>
            <c:spPr>
              <a:solidFill>
                <a:srgbClr val="00B0F0"/>
              </a:solidFill>
            </c:spPr>
          </c:marker>
          <c:val>
            <c:numRef>
              <c:f>Graph_Revenue!$I$9:$AE$9</c:f>
              <c:numCache>
                <c:formatCode>"$"#,##0_);\("$"#,##0\)</c:formatCode>
                <c:ptCount val="23"/>
                <c:pt idx="0">
                  <c:v>2955.51853012051</c:v>
                </c:pt>
                <c:pt idx="1">
                  <c:v>2459.895365452386</c:v>
                </c:pt>
                <c:pt idx="2">
                  <c:v>2499.922026989607</c:v>
                </c:pt>
                <c:pt idx="3">
                  <c:v>2540.057646087911</c:v>
                </c:pt>
                <c:pt idx="4">
                  <c:v>2580.96926227408</c:v>
                </c:pt>
                <c:pt idx="5">
                  <c:v>2620.717315943968</c:v>
                </c:pt>
                <c:pt idx="6">
                  <c:v>2662.566293246397</c:v>
                </c:pt>
                <c:pt idx="7">
                  <c:v>2705.236200149039</c:v>
                </c:pt>
                <c:pt idx="8">
                  <c:v>2748.752581450157</c:v>
                </c:pt>
                <c:pt idx="9">
                  <c:v>2793.742400670504</c:v>
                </c:pt>
                <c:pt idx="10">
                  <c:v>2835.264646133607</c:v>
                </c:pt>
                <c:pt idx="11">
                  <c:v>2874.28037073234</c:v>
                </c:pt>
                <c:pt idx="12">
                  <c:v>2914.169256367639</c:v>
                </c:pt>
                <c:pt idx="13">
                  <c:v>2954.355014981622</c:v>
                </c:pt>
                <c:pt idx="14">
                  <c:v>2995.442126638565</c:v>
                </c:pt>
                <c:pt idx="15">
                  <c:v>3037.437683214304</c:v>
                </c:pt>
                <c:pt idx="16">
                  <c:v>3079.738322475898</c:v>
                </c:pt>
                <c:pt idx="17">
                  <c:v>3124.274744769782</c:v>
                </c:pt>
                <c:pt idx="18">
                  <c:v>3168.672855873718</c:v>
                </c:pt>
                <c:pt idx="19">
                  <c:v>3215.850121045863</c:v>
                </c:pt>
                <c:pt idx="20">
                  <c:v>3264.032656416121</c:v>
                </c:pt>
                <c:pt idx="21">
                  <c:v>3309.639849846914</c:v>
                </c:pt>
                <c:pt idx="22">
                  <c:v>3357.872142654713</c:v>
                </c:pt>
              </c:numCache>
            </c:numRef>
          </c:val>
          <c:smooth val="0"/>
        </c:ser>
        <c:dLbls>
          <c:showLegendKey val="0"/>
          <c:showVal val="0"/>
          <c:showCatName val="0"/>
          <c:showSerName val="0"/>
          <c:showPercent val="0"/>
          <c:showBubbleSize val="0"/>
        </c:dLbls>
        <c:marker val="1"/>
        <c:smooth val="0"/>
        <c:axId val="634820888"/>
        <c:axId val="634825704"/>
      </c:lineChart>
      <c:catAx>
        <c:axId val="634820888"/>
        <c:scaling>
          <c:orientation val="minMax"/>
        </c:scaling>
        <c:delete val="0"/>
        <c:axPos val="b"/>
        <c:min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34825704"/>
        <c:crosses val="autoZero"/>
        <c:auto val="1"/>
        <c:lblAlgn val="ctr"/>
        <c:lblOffset val="100"/>
        <c:tickLblSkip val="2"/>
        <c:tickMarkSkip val="2"/>
        <c:noMultiLvlLbl val="0"/>
      </c:catAx>
      <c:valAx>
        <c:axId val="634825704"/>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t>$ per year (revenue line is in billions)</a:t>
                </a:r>
              </a:p>
            </c:rich>
          </c:tx>
          <c:layout>
            <c:manualLayout>
              <c:xMode val="edge"/>
              <c:yMode val="edge"/>
              <c:x val="0.00979877515310585"/>
              <c:y val="0.12641463851109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100" b="1" i="0" u="none" strike="noStrike" baseline="0">
                <a:solidFill>
                  <a:srgbClr val="000000"/>
                </a:solidFill>
                <a:latin typeface="Arial"/>
                <a:ea typeface="Arial"/>
                <a:cs typeface="Arial"/>
              </a:defRPr>
            </a:pPr>
            <a:endParaRPr lang="en-US"/>
          </a:p>
        </c:txPr>
        <c:crossAx val="634820888"/>
        <c:crosses val="autoZero"/>
        <c:crossBetween val="midCat"/>
        <c:majorUnit val="2000.0"/>
      </c:valAx>
      <c:spPr>
        <a:solidFill>
          <a:srgbClr val="99FF33"/>
        </a:solidFill>
        <a:ln w="12700">
          <a:solidFill>
            <a:srgbClr val="808080"/>
          </a:solidFill>
          <a:prstDash val="solid"/>
        </a:ln>
      </c:spPr>
    </c:plotArea>
    <c:legend>
      <c:legendPos val="r"/>
      <c:layout>
        <c:manualLayout>
          <c:xMode val="edge"/>
          <c:yMode val="edge"/>
          <c:wMode val="edge"/>
          <c:hMode val="edge"/>
          <c:x val="0.195019343912286"/>
          <c:y val="0.317666129801957"/>
          <c:w val="0.388635652194852"/>
          <c:h val="0.626688141255071"/>
        </c:manualLayout>
      </c:layout>
      <c:overlay val="0"/>
      <c:spPr>
        <a:solidFill>
          <a:srgbClr val="FFFFFF"/>
        </a:solidFill>
        <a:ln w="3175">
          <a:solidFill>
            <a:srgbClr val="000000"/>
          </a:solidFill>
          <a:prstDash val="solid"/>
        </a:ln>
      </c:spPr>
      <c:txPr>
        <a:bodyPr/>
        <a:lstStyle/>
        <a:p>
          <a:pPr>
            <a:defRPr sz="85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0" l="0.750000000000001" r="0.750000000000001" t="1.0" header="0.5" footer="0.5"/>
    <c:pageSetup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a:t>Annual Carbon Tax Revenues</a:t>
            </a:r>
          </a:p>
        </c:rich>
      </c:tx>
      <c:layout>
        <c:manualLayout>
          <c:xMode val="edge"/>
          <c:yMode val="edge"/>
          <c:x val="0.214084397425782"/>
          <c:y val="0.0387450087696384"/>
        </c:manualLayout>
      </c:layout>
      <c:overlay val="0"/>
      <c:spPr>
        <a:noFill/>
        <a:ln w="25400">
          <a:noFill/>
        </a:ln>
      </c:spPr>
    </c:title>
    <c:autoTitleDeleted val="0"/>
    <c:plotArea>
      <c:layout>
        <c:manualLayout>
          <c:layoutTarget val="inner"/>
          <c:xMode val="edge"/>
          <c:yMode val="edge"/>
          <c:x val="0.16259884581735"/>
          <c:y val="0.176125389986629"/>
          <c:w val="0.79976149311885"/>
          <c:h val="0.701849031842718"/>
        </c:manualLayout>
      </c:layout>
      <c:lineChart>
        <c:grouping val="standard"/>
        <c:varyColors val="0"/>
        <c:ser>
          <c:idx val="0"/>
          <c:order val="0"/>
          <c:tx>
            <c:v>Carbon Tax Revenue, Billions</c:v>
          </c:tx>
          <c:spPr>
            <a:ln w="12700">
              <a:solidFill>
                <a:srgbClr val="000080"/>
              </a:solidFill>
              <a:prstDash val="solid"/>
            </a:ln>
          </c:spPr>
          <c:marker>
            <c:symbol val="diamond"/>
            <c:size val="7"/>
            <c:spPr>
              <a:solidFill>
                <a:srgbClr val="FF0000"/>
              </a:solidFill>
              <a:ln>
                <a:solidFill>
                  <a:srgbClr val="000080"/>
                </a:solidFill>
                <a:prstDash val="solid"/>
              </a:ln>
            </c:spPr>
          </c:marker>
          <c:cat>
            <c:numRef>
              <c:f>Graph_Revenue!$I$5:$AE$5</c:f>
              <c:numCache>
                <c:formatCode>0</c:formatCode>
                <c:ptCount val="23"/>
                <c:pt idx="0">
                  <c:v>2015.0</c:v>
                </c:pt>
                <c:pt idx="1">
                  <c:v>2016.0</c:v>
                </c:pt>
                <c:pt idx="2">
                  <c:v>2017.0</c:v>
                </c:pt>
                <c:pt idx="3">
                  <c:v>2018.0</c:v>
                </c:pt>
                <c:pt idx="4">
                  <c:v>2019.0</c:v>
                </c:pt>
                <c:pt idx="5">
                  <c:v>2020.0</c:v>
                </c:pt>
                <c:pt idx="6">
                  <c:v>2021.0</c:v>
                </c:pt>
                <c:pt idx="7">
                  <c:v>2022.0</c:v>
                </c:pt>
                <c:pt idx="8">
                  <c:v>2023.0</c:v>
                </c:pt>
                <c:pt idx="9">
                  <c:v>2024.0</c:v>
                </c:pt>
                <c:pt idx="10">
                  <c:v>2025.0</c:v>
                </c:pt>
                <c:pt idx="11">
                  <c:v>2026.0</c:v>
                </c:pt>
                <c:pt idx="12">
                  <c:v>2027.0</c:v>
                </c:pt>
                <c:pt idx="13">
                  <c:v>2028.0</c:v>
                </c:pt>
                <c:pt idx="14">
                  <c:v>2029.0</c:v>
                </c:pt>
                <c:pt idx="15">
                  <c:v>2030.0</c:v>
                </c:pt>
                <c:pt idx="16">
                  <c:v>2031.0</c:v>
                </c:pt>
                <c:pt idx="17">
                  <c:v>2032.0</c:v>
                </c:pt>
                <c:pt idx="18">
                  <c:v>2033.0</c:v>
                </c:pt>
                <c:pt idx="19">
                  <c:v>2034.0</c:v>
                </c:pt>
                <c:pt idx="20">
                  <c:v>2035.0</c:v>
                </c:pt>
                <c:pt idx="21">
                  <c:v>2036.0</c:v>
                </c:pt>
                <c:pt idx="22">
                  <c:v>2037.0</c:v>
                </c:pt>
              </c:numCache>
            </c:numRef>
          </c:cat>
          <c:val>
            <c:numRef>
              <c:f>Graph_Revenue!$I$7:$AE$7</c:f>
              <c:numCache>
                <c:formatCode>"$"#,##0_);\("$"#,##0\)</c:formatCode>
                <c:ptCount val="23"/>
                <c:pt idx="0">
                  <c:v>362.4795701266298</c:v>
                </c:pt>
                <c:pt idx="1">
                  <c:v>371.0080874106498</c:v>
                </c:pt>
                <c:pt idx="2">
                  <c:v>379.9617619750452</c:v>
                </c:pt>
                <c:pt idx="3">
                  <c:v>389.041022389753</c:v>
                </c:pt>
                <c:pt idx="4">
                  <c:v>398.3463044233358</c:v>
                </c:pt>
                <c:pt idx="5">
                  <c:v>407.5780511639542</c:v>
                </c:pt>
                <c:pt idx="6">
                  <c:v>417.2367131423715</c:v>
                </c:pt>
                <c:pt idx="7">
                  <c:v>427.1227484570259</c:v>
                </c:pt>
                <c:pt idx="8">
                  <c:v>437.236622901203</c:v>
                </c:pt>
                <c:pt idx="9">
                  <c:v>447.678810092345</c:v>
                </c:pt>
                <c:pt idx="10">
                  <c:v>457.6497916035325</c:v>
                </c:pt>
                <c:pt idx="11">
                  <c:v>467.2901835472487</c:v>
                </c:pt>
                <c:pt idx="12">
                  <c:v>477.1396770403999</c:v>
                </c:pt>
                <c:pt idx="13">
                  <c:v>487.0983360612032</c:v>
                </c:pt>
                <c:pt idx="14">
                  <c:v>497.266226198375</c:v>
                </c:pt>
                <c:pt idx="15">
                  <c:v>507.6434146557578</c:v>
                </c:pt>
                <c:pt idx="16">
                  <c:v>518.129970256267</c:v>
                </c:pt>
                <c:pt idx="17">
                  <c:v>529.0259634451941</c:v>
                </c:pt>
                <c:pt idx="18">
                  <c:v>539.9314662928989</c:v>
                </c:pt>
                <c:pt idx="19">
                  <c:v>551.3465524969346</c:v>
                </c:pt>
                <c:pt idx="20">
                  <c:v>562.9712973836332</c:v>
                </c:pt>
                <c:pt idx="21">
                  <c:v>574.191045434434</c:v>
                </c:pt>
                <c:pt idx="22">
                  <c:v>585.9093021745827</c:v>
                </c:pt>
              </c:numCache>
            </c:numRef>
          </c:val>
          <c:smooth val="0"/>
        </c:ser>
        <c:ser>
          <c:idx val="1"/>
          <c:order val="1"/>
          <c:tx>
            <c:v>Per-Household Dividend</c:v>
          </c:tx>
          <c:marker>
            <c:symbol val="square"/>
            <c:size val="6"/>
            <c:spPr>
              <a:solidFill>
                <a:srgbClr val="00B0F0"/>
              </a:solidFill>
            </c:spPr>
          </c:marker>
          <c:val>
            <c:numRef>
              <c:f>Graph_Revenue!$I$9:$AE$9</c:f>
              <c:numCache>
                <c:formatCode>"$"#,##0_);\("$"#,##0\)</c:formatCode>
                <c:ptCount val="23"/>
                <c:pt idx="0">
                  <c:v>2955.51853012051</c:v>
                </c:pt>
                <c:pt idx="1">
                  <c:v>2459.895365452386</c:v>
                </c:pt>
                <c:pt idx="2">
                  <c:v>2499.922026989607</c:v>
                </c:pt>
                <c:pt idx="3">
                  <c:v>2540.057646087911</c:v>
                </c:pt>
                <c:pt idx="4">
                  <c:v>2580.96926227408</c:v>
                </c:pt>
                <c:pt idx="5">
                  <c:v>2620.717315943968</c:v>
                </c:pt>
                <c:pt idx="6">
                  <c:v>2662.566293246397</c:v>
                </c:pt>
                <c:pt idx="7">
                  <c:v>2705.236200149039</c:v>
                </c:pt>
                <c:pt idx="8">
                  <c:v>2748.752581450157</c:v>
                </c:pt>
                <c:pt idx="9">
                  <c:v>2793.742400670504</c:v>
                </c:pt>
                <c:pt idx="10">
                  <c:v>2835.264646133607</c:v>
                </c:pt>
                <c:pt idx="11">
                  <c:v>2874.28037073234</c:v>
                </c:pt>
                <c:pt idx="12">
                  <c:v>2914.169256367639</c:v>
                </c:pt>
                <c:pt idx="13">
                  <c:v>2954.355014981622</c:v>
                </c:pt>
                <c:pt idx="14">
                  <c:v>2995.442126638565</c:v>
                </c:pt>
                <c:pt idx="15">
                  <c:v>3037.437683214304</c:v>
                </c:pt>
                <c:pt idx="16">
                  <c:v>3079.738322475898</c:v>
                </c:pt>
                <c:pt idx="17">
                  <c:v>3124.274744769782</c:v>
                </c:pt>
                <c:pt idx="18">
                  <c:v>3168.672855873718</c:v>
                </c:pt>
                <c:pt idx="19">
                  <c:v>3215.850121045863</c:v>
                </c:pt>
                <c:pt idx="20">
                  <c:v>3264.032656416121</c:v>
                </c:pt>
                <c:pt idx="21">
                  <c:v>3309.639849846914</c:v>
                </c:pt>
                <c:pt idx="22">
                  <c:v>3357.872142654713</c:v>
                </c:pt>
              </c:numCache>
            </c:numRef>
          </c:val>
          <c:smooth val="0"/>
        </c:ser>
        <c:dLbls>
          <c:showLegendKey val="0"/>
          <c:showVal val="0"/>
          <c:showCatName val="0"/>
          <c:showSerName val="0"/>
          <c:showPercent val="0"/>
          <c:showBubbleSize val="0"/>
        </c:dLbls>
        <c:marker val="1"/>
        <c:smooth val="0"/>
        <c:axId val="565380584"/>
        <c:axId val="565375928"/>
      </c:lineChart>
      <c:catAx>
        <c:axId val="565380584"/>
        <c:scaling>
          <c:orientation val="minMax"/>
        </c:scaling>
        <c:delete val="0"/>
        <c:axPos val="b"/>
        <c:min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65375928"/>
        <c:crosses val="autoZero"/>
        <c:auto val="1"/>
        <c:lblAlgn val="ctr"/>
        <c:lblOffset val="100"/>
        <c:tickLblSkip val="4"/>
        <c:tickMarkSkip val="4"/>
        <c:noMultiLvlLbl val="0"/>
      </c:catAx>
      <c:valAx>
        <c:axId val="565375928"/>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565380584"/>
        <c:crosses val="autoZero"/>
        <c:crossBetween val="midCat"/>
      </c:valAx>
      <c:spPr>
        <a:solidFill>
          <a:srgbClr val="C0C0C0"/>
        </a:solidFill>
        <a:ln w="12700">
          <a:solidFill>
            <a:srgbClr val="808080"/>
          </a:solidFill>
          <a:prstDash val="solid"/>
        </a:ln>
      </c:spPr>
    </c:plotArea>
    <c:legend>
      <c:legendPos val="r"/>
      <c:layout>
        <c:manualLayout>
          <c:xMode val="edge"/>
          <c:yMode val="edge"/>
          <c:x val="0.193336339092583"/>
          <c:y val="0.217493873692329"/>
          <c:w val="0.296574507941109"/>
          <c:h val="0.335697403938252"/>
        </c:manualLayout>
      </c:layout>
      <c:overlay val="0"/>
      <c:spPr>
        <a:solidFill>
          <a:srgbClr val="FFFFFF"/>
        </a:solidFill>
        <a:ln w="3175">
          <a:solidFill>
            <a:srgbClr val="000000"/>
          </a:solidFill>
          <a:prstDash val="solid"/>
        </a:ln>
      </c:spPr>
      <c:txPr>
        <a:bodyPr/>
        <a:lstStyle/>
        <a:p>
          <a:pPr>
            <a:defRPr sz="525"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0" l="0.750000000000001" r="0.750000000000001" t="1.0" header="0.5" footer="0.5"/>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2000" b="1" i="0" u="none" strike="noStrike" baseline="0">
                <a:solidFill>
                  <a:srgbClr val="000000"/>
                </a:solidFill>
                <a:latin typeface="Calibri"/>
              </a:rPr>
              <a:t>Carbon Tax Would Eliminate Over Twice</a:t>
            </a:r>
          </a:p>
          <a:p>
            <a:pPr>
              <a:defRPr sz="1000" b="0" i="0" u="none" strike="noStrike" baseline="0">
                <a:solidFill>
                  <a:srgbClr val="000000"/>
                </a:solidFill>
                <a:latin typeface="Calibri"/>
                <a:ea typeface="Calibri"/>
                <a:cs typeface="Calibri"/>
              </a:defRPr>
            </a:pPr>
            <a:r>
              <a:rPr lang="en-US" sz="2000" b="1" i="0" u="none" strike="noStrike" baseline="0">
                <a:solidFill>
                  <a:srgbClr val="000000"/>
                </a:solidFill>
                <a:latin typeface="Calibri"/>
              </a:rPr>
              <a:t>as Much CO2 as Clean-Energy Credits</a:t>
            </a:r>
          </a:p>
        </c:rich>
      </c:tx>
      <c:layout>
        <c:manualLayout>
          <c:xMode val="edge"/>
          <c:yMode val="edge"/>
          <c:x val="0.13895371182482"/>
          <c:y val="0.0215717566554181"/>
        </c:manualLayout>
      </c:layout>
      <c:overlay val="0"/>
    </c:title>
    <c:autoTitleDeleted val="0"/>
    <c:plotArea>
      <c:layout>
        <c:manualLayout>
          <c:layoutTarget val="inner"/>
          <c:xMode val="edge"/>
          <c:yMode val="edge"/>
          <c:x val="0.161211849457491"/>
          <c:y val="0.212979705661792"/>
          <c:w val="0.815099254645736"/>
          <c:h val="0.49488915448069"/>
        </c:manualLayout>
      </c:layout>
      <c:barChart>
        <c:barDir val="col"/>
        <c:grouping val="stacked"/>
        <c:varyColors val="0"/>
        <c:ser>
          <c:idx val="1"/>
          <c:order val="0"/>
          <c:tx>
            <c:v>Emissions Eliminated by Baucus Clean-Energy Credits</c:v>
          </c:tx>
          <c:spPr>
            <a:solidFill>
              <a:srgbClr val="FF0000"/>
            </a:solidFill>
          </c:spPr>
          <c:invertIfNegative val="0"/>
          <c:dLbls>
            <c:dLbl>
              <c:idx val="0"/>
              <c:layout>
                <c:manualLayout>
                  <c:x val="0.0"/>
                  <c:y val="-0.0336134453781513"/>
                </c:manualLayout>
              </c:layout>
              <c:dLblPos val="ctr"/>
              <c:showLegendKey val="0"/>
              <c:showVal val="1"/>
              <c:showCatName val="0"/>
              <c:showSerName val="0"/>
              <c:showPercent val="0"/>
              <c:showBubbleSize val="0"/>
            </c:dLbl>
            <c:txPr>
              <a:bodyPr/>
              <a:lstStyle/>
              <a:p>
                <a:pPr>
                  <a:defRPr sz="11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dLbls>
          <c:cat>
            <c:strRef>
              <c:f>Baucus!$N$48:$T$48</c:f>
              <c:strCache>
                <c:ptCount val="6"/>
                <c:pt idx="0">
                  <c:v>Electricity</c:v>
                </c:pt>
                <c:pt idx="1">
                  <c:v>Personal Ground Travel</c:v>
                </c:pt>
                <c:pt idx="2">
                  <c:v>Freight</c:v>
                </c:pt>
                <c:pt idx="3">
                  <c:v>Aviation</c:v>
                </c:pt>
                <c:pt idx="4">
                  <c:v>Other Petroleum</c:v>
                </c:pt>
                <c:pt idx="5">
                  <c:v>Other Natural Gas</c:v>
                </c:pt>
              </c:strCache>
            </c:strRef>
          </c:cat>
          <c:val>
            <c:numRef>
              <c:f>Baucus!$E$56:$J$56</c:f>
              <c:numCache>
                <c:formatCode>_(* #,##0_);_(* \(#,##0\);_(* "-"??_);_(@_)</c:formatCode>
                <c:ptCount val="6"/>
                <c:pt idx="0">
                  <c:v>380.0165709960189</c:v>
                </c:pt>
                <c:pt idx="1">
                  <c:v>61.84060749526454</c:v>
                </c:pt>
                <c:pt idx="2">
                  <c:v>23.29757950479172</c:v>
                </c:pt>
                <c:pt idx="3">
                  <c:v>0.723458043370139</c:v>
                </c:pt>
              </c:numCache>
            </c:numRef>
          </c:val>
        </c:ser>
        <c:ser>
          <c:idx val="0"/>
          <c:order val="1"/>
          <c:tx>
            <c:v>Further Reductions if Tax Emissions Instead</c:v>
          </c:tx>
          <c:spPr>
            <a:solidFill>
              <a:srgbClr val="00FF00"/>
            </a:solidFill>
          </c:spPr>
          <c:invertIfNegative val="0"/>
          <c:dLbls>
            <c:dLbl>
              <c:idx val="0"/>
              <c:layout>
                <c:manualLayout>
                  <c:x val="-0.000125156445556946"/>
                  <c:y val="-0.0464520059992501"/>
                </c:manualLayout>
              </c:layout>
              <c:dLblPos val="ctr"/>
              <c:showLegendKey val="0"/>
              <c:showVal val="1"/>
              <c:showCatName val="0"/>
              <c:showSerName val="0"/>
              <c:showPercent val="0"/>
              <c:showBubbleSize val="0"/>
            </c:dLbl>
            <c:dLbl>
              <c:idx val="3"/>
              <c:layout>
                <c:manualLayout>
                  <c:x val="0.0"/>
                  <c:y val="-0.00970873786407767"/>
                </c:manualLayout>
              </c:layout>
              <c:dLblPos val="ctr"/>
              <c:showLegendKey val="0"/>
              <c:showVal val="1"/>
              <c:showCatName val="0"/>
              <c:showSerName val="0"/>
              <c:showPercent val="0"/>
              <c:showBubbleSize val="0"/>
            </c:dLbl>
            <c:txPr>
              <a:bodyPr/>
              <a:lstStyle/>
              <a:p>
                <a:pPr>
                  <a:defRPr sz="11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dLbls>
          <c:cat>
            <c:strRef>
              <c:f>Baucus!$N$48:$T$48</c:f>
              <c:strCache>
                <c:ptCount val="6"/>
                <c:pt idx="0">
                  <c:v>Electricity</c:v>
                </c:pt>
                <c:pt idx="1">
                  <c:v>Personal Ground Travel</c:v>
                </c:pt>
                <c:pt idx="2">
                  <c:v>Freight</c:v>
                </c:pt>
                <c:pt idx="3">
                  <c:v>Aviation</c:v>
                </c:pt>
                <c:pt idx="4">
                  <c:v>Other Petroleum</c:v>
                </c:pt>
                <c:pt idx="5">
                  <c:v>Other Natural Gas</c:v>
                </c:pt>
              </c:strCache>
            </c:strRef>
          </c:cat>
          <c:val>
            <c:numRef>
              <c:f>Baucus!$E$60:$J$60</c:f>
              <c:numCache>
                <c:formatCode>_(* #,##0_);_(* \(#,##0\);_(* "-"??_);_(@_)</c:formatCode>
                <c:ptCount val="6"/>
                <c:pt idx="0">
                  <c:v>245.0426127459672</c:v>
                </c:pt>
                <c:pt idx="1">
                  <c:v>80.12576052419534</c:v>
                </c:pt>
                <c:pt idx="2">
                  <c:v>40.80077623941604</c:v>
                </c:pt>
                <c:pt idx="3">
                  <c:v>22.83976452427722</c:v>
                </c:pt>
                <c:pt idx="4">
                  <c:v>89.14070019296037</c:v>
                </c:pt>
                <c:pt idx="5">
                  <c:v>14.96450088566996</c:v>
                </c:pt>
              </c:numCache>
            </c:numRef>
          </c:val>
        </c:ser>
        <c:dLbls>
          <c:showLegendKey val="0"/>
          <c:showVal val="1"/>
          <c:showCatName val="0"/>
          <c:showSerName val="0"/>
          <c:showPercent val="0"/>
          <c:showBubbleSize val="0"/>
        </c:dLbls>
        <c:gapWidth val="95"/>
        <c:overlap val="100"/>
        <c:axId val="565263096"/>
        <c:axId val="565259896"/>
      </c:barChart>
      <c:catAx>
        <c:axId val="565263096"/>
        <c:scaling>
          <c:orientation val="minMax"/>
        </c:scaling>
        <c:delete val="0"/>
        <c:axPos val="b"/>
        <c:numFmt formatCode="General" sourceLinked="1"/>
        <c:majorTickMark val="none"/>
        <c:minorTickMark val="none"/>
        <c:tickLblPos val="nextTo"/>
        <c:txPr>
          <a:bodyPr rot="0" vert="horz"/>
          <a:lstStyle/>
          <a:p>
            <a:pPr>
              <a:defRPr sz="1400" b="1" i="0" u="none" strike="noStrike" baseline="0">
                <a:solidFill>
                  <a:srgbClr val="000000"/>
                </a:solidFill>
                <a:latin typeface="Calibri"/>
                <a:ea typeface="Calibri"/>
                <a:cs typeface="Calibri"/>
              </a:defRPr>
            </a:pPr>
            <a:endParaRPr lang="en-US"/>
          </a:p>
        </c:txPr>
        <c:crossAx val="565259896"/>
        <c:crosses val="autoZero"/>
        <c:auto val="1"/>
        <c:lblAlgn val="ctr"/>
        <c:lblOffset val="100"/>
        <c:noMultiLvlLbl val="0"/>
      </c:catAx>
      <c:valAx>
        <c:axId val="565259896"/>
        <c:scaling>
          <c:orientation val="minMax"/>
        </c:scaling>
        <c:delete val="0"/>
        <c:axPos val="l"/>
        <c:numFmt formatCode="_(* #,##0_);_(* \(#,##0\);_(* &quot;-&quot;??_);_(@_)" sourceLinked="1"/>
        <c:majorTickMark val="out"/>
        <c:minorTickMark val="none"/>
        <c:tickLblPos val="nextTo"/>
        <c:spPr>
          <a:ln w="9525">
            <a:noFill/>
          </a:ln>
        </c:spPr>
        <c:txPr>
          <a:bodyPr rot="0" vert="horz"/>
          <a:lstStyle/>
          <a:p>
            <a:pPr>
              <a:defRPr sz="1200" b="1" i="0" u="none" strike="noStrike" baseline="0">
                <a:solidFill>
                  <a:srgbClr val="000000"/>
                </a:solidFill>
                <a:latin typeface="Calibri"/>
                <a:ea typeface="Calibri"/>
                <a:cs typeface="Calibri"/>
              </a:defRPr>
            </a:pPr>
            <a:endParaRPr lang="en-US"/>
          </a:p>
        </c:txPr>
        <c:crossAx val="565263096"/>
        <c:crosses val="autoZero"/>
        <c:crossBetween val="between"/>
      </c:valAx>
    </c:plotArea>
    <c:legend>
      <c:legendPos val="r"/>
      <c:legendEntry>
        <c:idx val="0"/>
        <c:txPr>
          <a:bodyPr/>
          <a:lstStyle/>
          <a:p>
            <a:pPr>
              <a:defRPr sz="1240" b="1" i="0" u="none" strike="noStrike" baseline="0">
                <a:solidFill>
                  <a:srgbClr val="000000"/>
                </a:solidFill>
                <a:latin typeface="Calibri"/>
                <a:ea typeface="Calibri"/>
                <a:cs typeface="Calibri"/>
              </a:defRPr>
            </a:pPr>
            <a:endParaRPr lang="en-US"/>
          </a:p>
        </c:txPr>
      </c:legendEntry>
      <c:legendEntry>
        <c:idx val="1"/>
        <c:txPr>
          <a:bodyPr/>
          <a:lstStyle/>
          <a:p>
            <a:pPr>
              <a:defRPr sz="1240" b="1" i="0" u="none" strike="noStrike" baseline="0">
                <a:solidFill>
                  <a:srgbClr val="000000"/>
                </a:solidFill>
                <a:latin typeface="Calibri"/>
                <a:ea typeface="Calibri"/>
                <a:cs typeface="Calibri"/>
              </a:defRPr>
            </a:pPr>
            <a:endParaRPr lang="en-US"/>
          </a:p>
        </c:txPr>
      </c:legendEntry>
      <c:layout>
        <c:manualLayout>
          <c:xMode val="edge"/>
          <c:yMode val="edge"/>
          <c:x val="0.259165656545748"/>
          <c:y val="0.293929743157106"/>
          <c:w val="0.675232492058643"/>
          <c:h val="0.180739360704912"/>
        </c:manualLayout>
      </c:layout>
      <c:overlay val="0"/>
      <c:txPr>
        <a:bodyPr/>
        <a:lstStyle/>
        <a:p>
          <a:pPr>
            <a:defRPr sz="1240" b="1"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 l="0.700000000000001" r="0.700000000000001" t="0.750000000000001"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US"/>
              <a:t>Emissions With and Without  Carbon Tax 
</a:t>
            </a:r>
          </a:p>
        </c:rich>
      </c:tx>
      <c:layout>
        <c:manualLayout>
          <c:xMode val="edge"/>
          <c:yMode val="edge"/>
          <c:x val="0.170263468258363"/>
          <c:y val="0.0438197491534932"/>
        </c:manualLayout>
      </c:layout>
      <c:overlay val="0"/>
      <c:spPr>
        <a:noFill/>
        <a:ln w="25400">
          <a:noFill/>
        </a:ln>
      </c:spPr>
    </c:title>
    <c:autoTitleDeleted val="0"/>
    <c:plotArea>
      <c:layout>
        <c:manualLayout>
          <c:layoutTarget val="inner"/>
          <c:xMode val="edge"/>
          <c:yMode val="edge"/>
          <c:x val="0.152893716447735"/>
          <c:y val="0.153576866822945"/>
          <c:w val="0.797949903001255"/>
          <c:h val="0.730808526982908"/>
        </c:manualLayout>
      </c:layout>
      <c:lineChart>
        <c:grouping val="standard"/>
        <c:varyColors val="0"/>
        <c:ser>
          <c:idx val="0"/>
          <c:order val="0"/>
          <c:tx>
            <c:v>Emissions Without Carbon Tax</c:v>
          </c:tx>
          <c:spPr>
            <a:ln w="12700">
              <a:solidFill>
                <a:srgbClr val="000080"/>
              </a:solidFill>
              <a:prstDash val="solid"/>
            </a:ln>
          </c:spPr>
          <c:marker>
            <c:symbol val="diamond"/>
            <c:size val="9"/>
            <c:spPr>
              <a:solidFill>
                <a:srgbClr val="000080"/>
              </a:solidFill>
              <a:ln>
                <a:solidFill>
                  <a:srgbClr val="000080"/>
                </a:solidFill>
                <a:prstDash val="solid"/>
              </a:ln>
            </c:spPr>
          </c:marker>
          <c:cat>
            <c:numRef>
              <c:f>Graph_CO2!$I$6:$AM$6</c:f>
              <c:numCache>
                <c:formatCode>0</c:formatCode>
                <c:ptCount val="31"/>
                <c:pt idx="0">
                  <c:v>2005.0</c:v>
                </c:pt>
                <c:pt idx="1">
                  <c:v>2006.0</c:v>
                </c:pt>
                <c:pt idx="2">
                  <c:v>2007.0</c:v>
                </c:pt>
                <c:pt idx="3">
                  <c:v>2008.0</c:v>
                </c:pt>
                <c:pt idx="4">
                  <c:v>2009.0</c:v>
                </c:pt>
                <c:pt idx="5">
                  <c:v>2010.0</c:v>
                </c:pt>
                <c:pt idx="6">
                  <c:v>2011.0</c:v>
                </c:pt>
                <c:pt idx="7">
                  <c:v>2012.0</c:v>
                </c:pt>
                <c:pt idx="8">
                  <c:v>2015.0</c:v>
                </c:pt>
                <c:pt idx="9">
                  <c:v>2016.0</c:v>
                </c:pt>
                <c:pt idx="10">
                  <c:v>2017.0</c:v>
                </c:pt>
                <c:pt idx="11">
                  <c:v>2018.0</c:v>
                </c:pt>
                <c:pt idx="12">
                  <c:v>2019.0</c:v>
                </c:pt>
                <c:pt idx="13">
                  <c:v>2020.0</c:v>
                </c:pt>
                <c:pt idx="14">
                  <c:v>2021.0</c:v>
                </c:pt>
                <c:pt idx="15">
                  <c:v>2022.0</c:v>
                </c:pt>
                <c:pt idx="16">
                  <c:v>2023.0</c:v>
                </c:pt>
                <c:pt idx="17">
                  <c:v>2024.0</c:v>
                </c:pt>
                <c:pt idx="18">
                  <c:v>2025.0</c:v>
                </c:pt>
                <c:pt idx="19">
                  <c:v>2026.0</c:v>
                </c:pt>
                <c:pt idx="20">
                  <c:v>2027.0</c:v>
                </c:pt>
                <c:pt idx="21">
                  <c:v>2028.0</c:v>
                </c:pt>
                <c:pt idx="22">
                  <c:v>2029.0</c:v>
                </c:pt>
                <c:pt idx="23">
                  <c:v>2030.0</c:v>
                </c:pt>
                <c:pt idx="24">
                  <c:v>2031.0</c:v>
                </c:pt>
                <c:pt idx="25">
                  <c:v>2032.0</c:v>
                </c:pt>
                <c:pt idx="26">
                  <c:v>2033.0</c:v>
                </c:pt>
                <c:pt idx="27">
                  <c:v>2034.0</c:v>
                </c:pt>
                <c:pt idx="28">
                  <c:v>2035.0</c:v>
                </c:pt>
                <c:pt idx="29">
                  <c:v>2036.0</c:v>
                </c:pt>
                <c:pt idx="30">
                  <c:v>2037.0</c:v>
                </c:pt>
              </c:numCache>
            </c:numRef>
          </c:cat>
          <c:val>
            <c:numRef>
              <c:f>Graph_CO2!$I$7:$AM$7</c:f>
              <c:numCache>
                <c:formatCode>_(* #,##0_);_(* \(#,##0\);_(* "-"??_);_(@_)</c:formatCode>
                <c:ptCount val="31"/>
                <c:pt idx="0">
                  <c:v>5906.108533464413</c:v>
                </c:pt>
                <c:pt idx="1">
                  <c:v>5891.271635636268</c:v>
                </c:pt>
                <c:pt idx="2">
                  <c:v>5938.746251587846</c:v>
                </c:pt>
                <c:pt idx="3">
                  <c:v>5771.985953936171</c:v>
                </c:pt>
                <c:pt idx="4">
                  <c:v>5406.426242414684</c:v>
                </c:pt>
                <c:pt idx="5">
                  <c:v>5596.358126771156</c:v>
                </c:pt>
                <c:pt idx="6">
                  <c:v>5458.60803182756</c:v>
                </c:pt>
                <c:pt idx="7">
                  <c:v>5220.654002874735</c:v>
                </c:pt>
                <c:pt idx="8">
                  <c:v>5318.386354168665</c:v>
                </c:pt>
                <c:pt idx="9">
                  <c:v>5341.808329718306</c:v>
                </c:pt>
                <c:pt idx="10">
                  <c:v>5365.337495787988</c:v>
                </c:pt>
                <c:pt idx="11">
                  <c:v>5388.976484471351</c:v>
                </c:pt>
                <c:pt idx="12">
                  <c:v>5412.727935985258</c:v>
                </c:pt>
                <c:pt idx="13">
                  <c:v>5436.594497411706</c:v>
                </c:pt>
                <c:pt idx="14">
                  <c:v>5460.578821532956</c:v>
                </c:pt>
                <c:pt idx="15">
                  <c:v>5484.68356575752</c:v>
                </c:pt>
                <c:pt idx="16">
                  <c:v>5508.911391134515</c:v>
                </c:pt>
                <c:pt idx="17">
                  <c:v>5533.26496145379</c:v>
                </c:pt>
                <c:pt idx="18">
                  <c:v>5553.93044182937</c:v>
                </c:pt>
                <c:pt idx="19">
                  <c:v>5557.107162691396</c:v>
                </c:pt>
                <c:pt idx="20">
                  <c:v>5560.38635417036</c:v>
                </c:pt>
                <c:pt idx="21">
                  <c:v>5563.768183875874</c:v>
                </c:pt>
                <c:pt idx="22">
                  <c:v>5567.252819562492</c:v>
                </c:pt>
                <c:pt idx="23">
                  <c:v>5570.84042937125</c:v>
                </c:pt>
                <c:pt idx="24">
                  <c:v>5574.531182103936</c:v>
                </c:pt>
                <c:pt idx="25">
                  <c:v>5578.32524752532</c:v>
                </c:pt>
                <c:pt idx="26">
                  <c:v>5582.222796688802</c:v>
                </c:pt>
                <c:pt idx="27">
                  <c:v>5586.224002281144</c:v>
                </c:pt>
                <c:pt idx="28">
                  <c:v>5592.378838826858</c:v>
                </c:pt>
                <c:pt idx="29">
                  <c:v>5586.489941250911</c:v>
                </c:pt>
                <c:pt idx="30">
                  <c:v>5582.654551811647</c:v>
                </c:pt>
              </c:numCache>
            </c:numRef>
          </c:val>
          <c:smooth val="0"/>
        </c:ser>
        <c:ser>
          <c:idx val="2"/>
          <c:order val="1"/>
          <c:tx>
            <c:v>Emissions With Carbon Tax</c:v>
          </c:tx>
          <c:cat>
            <c:numRef>
              <c:f>Graph_CO2!$I$6:$AM$6</c:f>
              <c:numCache>
                <c:formatCode>0</c:formatCode>
                <c:ptCount val="31"/>
                <c:pt idx="0">
                  <c:v>2005.0</c:v>
                </c:pt>
                <c:pt idx="1">
                  <c:v>2006.0</c:v>
                </c:pt>
                <c:pt idx="2">
                  <c:v>2007.0</c:v>
                </c:pt>
                <c:pt idx="3">
                  <c:v>2008.0</c:v>
                </c:pt>
                <c:pt idx="4">
                  <c:v>2009.0</c:v>
                </c:pt>
                <c:pt idx="5">
                  <c:v>2010.0</c:v>
                </c:pt>
                <c:pt idx="6">
                  <c:v>2011.0</c:v>
                </c:pt>
                <c:pt idx="7">
                  <c:v>2012.0</c:v>
                </c:pt>
                <c:pt idx="8">
                  <c:v>2015.0</c:v>
                </c:pt>
                <c:pt idx="9">
                  <c:v>2016.0</c:v>
                </c:pt>
                <c:pt idx="10">
                  <c:v>2017.0</c:v>
                </c:pt>
                <c:pt idx="11">
                  <c:v>2018.0</c:v>
                </c:pt>
                <c:pt idx="12">
                  <c:v>2019.0</c:v>
                </c:pt>
                <c:pt idx="13">
                  <c:v>2020.0</c:v>
                </c:pt>
                <c:pt idx="14">
                  <c:v>2021.0</c:v>
                </c:pt>
                <c:pt idx="15">
                  <c:v>2022.0</c:v>
                </c:pt>
                <c:pt idx="16">
                  <c:v>2023.0</c:v>
                </c:pt>
                <c:pt idx="17">
                  <c:v>2024.0</c:v>
                </c:pt>
                <c:pt idx="18">
                  <c:v>2025.0</c:v>
                </c:pt>
                <c:pt idx="19">
                  <c:v>2026.0</c:v>
                </c:pt>
                <c:pt idx="20">
                  <c:v>2027.0</c:v>
                </c:pt>
                <c:pt idx="21">
                  <c:v>2028.0</c:v>
                </c:pt>
                <c:pt idx="22">
                  <c:v>2029.0</c:v>
                </c:pt>
                <c:pt idx="23">
                  <c:v>2030.0</c:v>
                </c:pt>
                <c:pt idx="24">
                  <c:v>2031.0</c:v>
                </c:pt>
                <c:pt idx="25">
                  <c:v>2032.0</c:v>
                </c:pt>
                <c:pt idx="26">
                  <c:v>2033.0</c:v>
                </c:pt>
                <c:pt idx="27">
                  <c:v>2034.0</c:v>
                </c:pt>
                <c:pt idx="28">
                  <c:v>2035.0</c:v>
                </c:pt>
                <c:pt idx="29">
                  <c:v>2036.0</c:v>
                </c:pt>
                <c:pt idx="30">
                  <c:v>2037.0</c:v>
                </c:pt>
              </c:numCache>
            </c:numRef>
          </c:cat>
          <c:val>
            <c:numRef>
              <c:f>Graph_CO2!$I$9:$AM$9</c:f>
              <c:numCache>
                <c:formatCode>_(* #,##0_);_(* \(#,##0\);_(* "-"??_);_(@_)</c:formatCode>
                <c:ptCount val="31"/>
                <c:pt idx="0">
                  <c:v>5906.108533464413</c:v>
                </c:pt>
                <c:pt idx="1">
                  <c:v>5891.271635636268</c:v>
                </c:pt>
                <c:pt idx="2">
                  <c:v>5938.746251587846</c:v>
                </c:pt>
                <c:pt idx="3">
                  <c:v>5771.985953936171</c:v>
                </c:pt>
                <c:pt idx="4">
                  <c:v>5406.426242414684</c:v>
                </c:pt>
                <c:pt idx="5">
                  <c:v>5596.358126771156</c:v>
                </c:pt>
                <c:pt idx="6">
                  <c:v>5458.60803182756</c:v>
                </c:pt>
                <c:pt idx="7">
                  <c:v>5220.654002874735</c:v>
                </c:pt>
                <c:pt idx="8">
                  <c:v>4191.99392555672</c:v>
                </c:pt>
                <c:pt idx="9">
                  <c:v>4219.827131395886</c:v>
                </c:pt>
                <c:pt idx="10">
                  <c:v>4247.728675551978</c:v>
                </c:pt>
                <c:pt idx="11">
                  <c:v>4275.699935924081</c:v>
                </c:pt>
                <c:pt idx="12">
                  <c:v>4303.742379632358</c:v>
                </c:pt>
                <c:pt idx="13">
                  <c:v>4331.857560667875</c:v>
                </c:pt>
                <c:pt idx="14">
                  <c:v>4360.047117448503</c:v>
                </c:pt>
                <c:pt idx="15">
                  <c:v>4388.312770294436</c:v>
                </c:pt>
                <c:pt idx="16">
                  <c:v>4416.65631883667</c:v>
                </c:pt>
                <c:pt idx="17">
                  <c:v>4445.079639371352</c:v>
                </c:pt>
                <c:pt idx="18">
                  <c:v>4470.190859940288</c:v>
                </c:pt>
                <c:pt idx="19">
                  <c:v>4485.214698925639</c:v>
                </c:pt>
                <c:pt idx="20">
                  <c:v>4500.172887972827</c:v>
                </c:pt>
                <c:pt idx="21">
                  <c:v>4515.067500524712</c:v>
                </c:pt>
                <c:pt idx="22">
                  <c:v>4529.900624529553</c:v>
                </c:pt>
                <c:pt idx="23">
                  <c:v>4544.674359594824</c:v>
                </c:pt>
                <c:pt idx="24">
                  <c:v>4559.390814268604</c:v>
                </c:pt>
                <c:pt idx="25">
                  <c:v>4574.052103453455</c:v>
                </c:pt>
                <c:pt idx="26">
                  <c:v>4588.66034595672</c:v>
                </c:pt>
                <c:pt idx="27">
                  <c:v>4603.217662180216</c:v>
                </c:pt>
                <c:pt idx="28">
                  <c:v>4619.579191462715</c:v>
                </c:pt>
                <c:pt idx="29">
                  <c:v>4628.727276879437</c:v>
                </c:pt>
                <c:pt idx="30">
                  <c:v>4639.491460674707</c:v>
                </c:pt>
              </c:numCache>
            </c:numRef>
          </c:val>
          <c:smooth val="0"/>
        </c:ser>
        <c:dLbls>
          <c:showLegendKey val="0"/>
          <c:showVal val="0"/>
          <c:showCatName val="0"/>
          <c:showSerName val="0"/>
          <c:showPercent val="0"/>
          <c:showBubbleSize val="0"/>
        </c:dLbls>
        <c:marker val="1"/>
        <c:smooth val="0"/>
        <c:axId val="565191800"/>
        <c:axId val="565188408"/>
      </c:lineChart>
      <c:catAx>
        <c:axId val="565191800"/>
        <c:scaling>
          <c:orientation val="minMax"/>
        </c:scaling>
        <c:delete val="0"/>
        <c:axPos val="b"/>
        <c:minorGridlines>
          <c:spPr>
            <a:ln w="3175"/>
          </c:spPr>
        </c:min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65188408"/>
        <c:crosses val="autoZero"/>
        <c:auto val="1"/>
        <c:lblAlgn val="ctr"/>
        <c:lblOffset val="100"/>
        <c:tickLblSkip val="2"/>
        <c:tickMarkSkip val="2"/>
        <c:noMultiLvlLbl val="0"/>
      </c:catAx>
      <c:valAx>
        <c:axId val="565188408"/>
        <c:scaling>
          <c:orientation val="minMax"/>
          <c:max val="8000.0"/>
          <c:min val="0.0"/>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Million Tonnes CO2 (U.S.)</a:t>
                </a:r>
              </a:p>
            </c:rich>
          </c:tx>
          <c:layout>
            <c:manualLayout>
              <c:xMode val="edge"/>
              <c:yMode val="edge"/>
              <c:x val="0.0224157617961641"/>
              <c:y val="0.22223457754803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100" b="1" i="0" u="none" strike="noStrike" baseline="0">
                <a:solidFill>
                  <a:srgbClr val="000000"/>
                </a:solidFill>
                <a:latin typeface="Arial"/>
                <a:ea typeface="Arial"/>
                <a:cs typeface="Arial"/>
              </a:defRPr>
            </a:pPr>
            <a:endParaRPr lang="en-US"/>
          </a:p>
        </c:txPr>
        <c:crossAx val="565191800"/>
        <c:crosses val="autoZero"/>
        <c:crossBetween val="midCat"/>
        <c:majorUnit val="2000.0"/>
        <c:minorUnit val="500.0"/>
      </c:valAx>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a:solidFill>
            <a:srgbClr val="808080"/>
          </a:solidFill>
          <a:prstDash val="solid"/>
        </a:ln>
      </c:spPr>
    </c:plotArea>
    <c:legend>
      <c:legendPos val="r"/>
      <c:layout>
        <c:manualLayout>
          <c:xMode val="edge"/>
          <c:yMode val="edge"/>
          <c:x val="0.628090246168575"/>
          <c:y val="0.653339945102282"/>
          <c:w val="0.242325415520914"/>
          <c:h val="0.17357396165174"/>
        </c:manualLayout>
      </c:layout>
      <c:overlay val="0"/>
      <c:spPr>
        <a:solidFill>
          <a:srgbClr val="FFFFFF"/>
        </a:solidFill>
        <a:ln w="3175">
          <a:solidFill>
            <a:srgbClr val="000000"/>
          </a:solidFill>
          <a:prstDash val="solid"/>
        </a:ln>
      </c:spPr>
      <c:txPr>
        <a:bodyPr/>
        <a:lstStyle/>
        <a:p>
          <a:pPr>
            <a:defRPr sz="775"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0" l="0.750000000000001" r="0.750000000000001" t="1.0" header="0.5" footer="0.5"/>
    <c:pageSetup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2400" b="1" i="0" u="none" strike="noStrike" baseline="0">
                <a:solidFill>
                  <a:srgbClr val="000000"/>
                </a:solidFill>
                <a:latin typeface="Calibri"/>
              </a:rPr>
              <a:t>U.S.  CO2 Emissions in Carbon </a:t>
            </a:r>
          </a:p>
          <a:p>
            <a:pPr>
              <a:defRPr sz="1000" b="0" i="0" u="none" strike="noStrike" baseline="0">
                <a:solidFill>
                  <a:srgbClr val="000000"/>
                </a:solidFill>
                <a:latin typeface="Calibri"/>
                <a:ea typeface="Calibri"/>
                <a:cs typeface="Calibri"/>
              </a:defRPr>
            </a:pPr>
            <a:r>
              <a:rPr lang="en-US" sz="2400" b="1" i="0" u="none" strike="noStrike" baseline="0">
                <a:solidFill>
                  <a:srgbClr val="000000"/>
                </a:solidFill>
                <a:latin typeface="Calibri"/>
              </a:rPr>
              <a:t>Tax's 10th Year, by Sector</a:t>
            </a:r>
          </a:p>
        </c:rich>
      </c:tx>
      <c:layout>
        <c:manualLayout>
          <c:xMode val="edge"/>
          <c:yMode val="edge"/>
          <c:x val="0.218219460677553"/>
          <c:y val="0.0305003280839895"/>
        </c:manualLayout>
      </c:layout>
      <c:overlay val="0"/>
    </c:title>
    <c:autoTitleDeleted val="0"/>
    <c:plotArea>
      <c:layout>
        <c:manualLayout>
          <c:layoutTarget val="inner"/>
          <c:xMode val="edge"/>
          <c:yMode val="edge"/>
          <c:x val="0.0819461248074469"/>
          <c:y val="0.132622633335881"/>
          <c:w val="0.894365037214923"/>
          <c:h val="0.628817623525215"/>
        </c:manualLayout>
      </c:layout>
      <c:barChart>
        <c:barDir val="col"/>
        <c:grouping val="stacked"/>
        <c:varyColors val="0"/>
        <c:ser>
          <c:idx val="1"/>
          <c:order val="0"/>
          <c:tx>
            <c:v>CO2 Emissions Remaining with Carbon Tax</c:v>
          </c:tx>
          <c:spPr>
            <a:solidFill>
              <a:srgbClr val="FF0000"/>
            </a:solidFill>
          </c:spPr>
          <c:invertIfNegative val="0"/>
          <c:dLbls>
            <c:dLbl>
              <c:idx val="0"/>
              <c:layout>
                <c:manualLayout>
                  <c:x val="0.0"/>
                  <c:y val="-0.0336134453781513"/>
                </c:manualLayout>
              </c:layout>
              <c:dLblPos val="ctr"/>
              <c:showLegendKey val="0"/>
              <c:showVal val="1"/>
              <c:showCatName val="0"/>
              <c:showSerName val="0"/>
              <c:showPercent val="0"/>
              <c:showBubbleSize val="0"/>
            </c:dLbl>
            <c:txPr>
              <a:bodyPr/>
              <a:lstStyle/>
              <a:p>
                <a:pPr>
                  <a:defRPr sz="11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dLbls>
          <c:cat>
            <c:strRef>
              <c:f>Graph_Oil!$B$70:$B$75</c:f>
              <c:strCache>
                <c:ptCount val="6"/>
                <c:pt idx="0">
                  <c:v>  Electricity</c:v>
                </c:pt>
                <c:pt idx="1">
                  <c:v>  Personal Ground Travel </c:v>
                </c:pt>
                <c:pt idx="2">
                  <c:v>  Freight</c:v>
                </c:pt>
                <c:pt idx="3">
                  <c:v>  Aviation</c:v>
                </c:pt>
                <c:pt idx="4">
                  <c:v>  "Other" Petroleum</c:v>
                </c:pt>
                <c:pt idx="5">
                  <c:v>  "Other" Methane</c:v>
                </c:pt>
              </c:strCache>
            </c:strRef>
          </c:cat>
          <c:val>
            <c:numRef>
              <c:f>Graph_CO2!$Z$56:$Z$61</c:f>
              <c:numCache>
                <c:formatCode>_(* #,##0_);_(* \(#,##0\);_(* "-"??_);_(@_)</c:formatCode>
                <c:ptCount val="6"/>
                <c:pt idx="0">
                  <c:v>1423.815891367754</c:v>
                </c:pt>
                <c:pt idx="1">
                  <c:v>1148.88702600953</c:v>
                </c:pt>
                <c:pt idx="2">
                  <c:v>423.9971220399383</c:v>
                </c:pt>
                <c:pt idx="3">
                  <c:v>191.0260658004113</c:v>
                </c:pt>
                <c:pt idx="4">
                  <c:v>746.0308982756914</c:v>
                </c:pt>
                <c:pt idx="5">
                  <c:v>511.3226358780277</c:v>
                </c:pt>
              </c:numCache>
            </c:numRef>
          </c:val>
        </c:ser>
        <c:ser>
          <c:idx val="0"/>
          <c:order val="1"/>
          <c:tx>
            <c:v>CO2 Reductions from No-tax Trajectory</c:v>
          </c:tx>
          <c:spPr>
            <a:solidFill>
              <a:srgbClr val="00FF00"/>
            </a:solidFill>
          </c:spPr>
          <c:invertIfNegative val="0"/>
          <c:dLbls>
            <c:dLbl>
              <c:idx val="0"/>
              <c:layout>
                <c:manualLayout>
                  <c:x val="-0.00221116639027087"/>
                  <c:y val="-0.0821661998132586"/>
                </c:manualLayout>
              </c:layout>
              <c:dLblPos val="ctr"/>
              <c:showLegendKey val="0"/>
              <c:showVal val="1"/>
              <c:showCatName val="0"/>
              <c:showSerName val="0"/>
              <c:showPercent val="0"/>
              <c:showBubbleSize val="0"/>
            </c:dLbl>
            <c:dLbl>
              <c:idx val="3"/>
              <c:layout>
                <c:manualLayout>
                  <c:x val="0.0"/>
                  <c:y val="-0.00970873786407767"/>
                </c:manualLayout>
              </c:layout>
              <c:dLblPos val="ctr"/>
              <c:showLegendKey val="0"/>
              <c:showVal val="1"/>
              <c:showCatName val="0"/>
              <c:showSerName val="0"/>
              <c:showPercent val="0"/>
              <c:showBubbleSize val="0"/>
            </c:dLbl>
            <c:txPr>
              <a:bodyPr/>
              <a:lstStyle/>
              <a:p>
                <a:pPr>
                  <a:defRPr sz="11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dLbls>
          <c:cat>
            <c:strRef>
              <c:f>Graph_Oil!$B$70:$B$75</c:f>
              <c:strCache>
                <c:ptCount val="6"/>
                <c:pt idx="0">
                  <c:v>  Electricity</c:v>
                </c:pt>
                <c:pt idx="1">
                  <c:v>  Personal Ground Travel </c:v>
                </c:pt>
                <c:pt idx="2">
                  <c:v>  Freight</c:v>
                </c:pt>
                <c:pt idx="3">
                  <c:v>  Aviation</c:v>
                </c:pt>
                <c:pt idx="4">
                  <c:v>  "Other" Petroleum</c:v>
                </c:pt>
                <c:pt idx="5">
                  <c:v>  "Other" Methane</c:v>
                </c:pt>
              </c:strCache>
            </c:strRef>
          </c:cat>
          <c:val>
            <c:numRef>
              <c:f>Graph_CO2!$Z$65:$Z$70</c:f>
              <c:numCache>
                <c:formatCode>_(* #,##0_);_(* \(#,##0\);_(* "-"??_);_(@_)</c:formatCode>
                <c:ptCount val="6"/>
                <c:pt idx="0">
                  <c:v>624.5858203327293</c:v>
                </c:pt>
                <c:pt idx="1">
                  <c:v>132.7181544838795</c:v>
                </c:pt>
                <c:pt idx="2">
                  <c:v>62.47564217317847</c:v>
                </c:pt>
                <c:pt idx="3">
                  <c:v>22.72952320567899</c:v>
                </c:pt>
                <c:pt idx="4">
                  <c:v>86.39508650011896</c:v>
                </c:pt>
                <c:pt idx="5">
                  <c:v>134.9275250675772</c:v>
                </c:pt>
              </c:numCache>
            </c:numRef>
          </c:val>
        </c:ser>
        <c:dLbls>
          <c:showLegendKey val="0"/>
          <c:showVal val="1"/>
          <c:showCatName val="0"/>
          <c:showSerName val="0"/>
          <c:showPercent val="0"/>
          <c:showBubbleSize val="0"/>
        </c:dLbls>
        <c:gapWidth val="95"/>
        <c:overlap val="100"/>
        <c:axId val="633756280"/>
        <c:axId val="633759464"/>
      </c:barChart>
      <c:catAx>
        <c:axId val="633756280"/>
        <c:scaling>
          <c:orientation val="minMax"/>
        </c:scaling>
        <c:delete val="0"/>
        <c:axPos val="b"/>
        <c:numFmt formatCode="General" sourceLinked="1"/>
        <c:majorTickMark val="none"/>
        <c:minorTickMark val="none"/>
        <c:tickLblPos val="nextTo"/>
        <c:txPr>
          <a:bodyPr rot="0" vert="horz"/>
          <a:lstStyle/>
          <a:p>
            <a:pPr>
              <a:defRPr sz="1400" b="1" i="0" u="none" strike="noStrike" baseline="0">
                <a:solidFill>
                  <a:srgbClr val="000000"/>
                </a:solidFill>
                <a:latin typeface="Calibri"/>
                <a:ea typeface="Calibri"/>
                <a:cs typeface="Calibri"/>
              </a:defRPr>
            </a:pPr>
            <a:endParaRPr lang="en-US"/>
          </a:p>
        </c:txPr>
        <c:crossAx val="633759464"/>
        <c:crosses val="autoZero"/>
        <c:auto val="1"/>
        <c:lblAlgn val="ctr"/>
        <c:lblOffset val="100"/>
        <c:noMultiLvlLbl val="0"/>
      </c:catAx>
      <c:valAx>
        <c:axId val="633759464"/>
        <c:scaling>
          <c:orientation val="minMax"/>
          <c:max val="3000.0"/>
        </c:scaling>
        <c:delete val="0"/>
        <c:axPos val="l"/>
        <c:numFmt formatCode="_(* #,##0_);_(* \(#,##0\);_(* &quot;-&quot;??_);_(@_)" sourceLinked="1"/>
        <c:majorTickMark val="out"/>
        <c:minorTickMark val="none"/>
        <c:tickLblPos val="nextTo"/>
        <c:spPr>
          <a:ln w="9525">
            <a:noFill/>
          </a:ln>
        </c:spPr>
        <c:txPr>
          <a:bodyPr rot="0" vert="horz"/>
          <a:lstStyle/>
          <a:p>
            <a:pPr>
              <a:defRPr sz="1200" b="1" i="0" u="none" strike="noStrike" baseline="0">
                <a:solidFill>
                  <a:srgbClr val="000000"/>
                </a:solidFill>
                <a:latin typeface="Calibri"/>
                <a:ea typeface="Calibri"/>
                <a:cs typeface="Calibri"/>
              </a:defRPr>
            </a:pPr>
            <a:endParaRPr lang="en-US"/>
          </a:p>
        </c:txPr>
        <c:crossAx val="633756280"/>
        <c:crosses val="autoZero"/>
        <c:crossBetween val="between"/>
        <c:majorUnit val="1000.0"/>
      </c:valAx>
    </c:plotArea>
    <c:legend>
      <c:legendPos val="r"/>
      <c:legendEntry>
        <c:idx val="0"/>
        <c:txPr>
          <a:bodyPr/>
          <a:lstStyle/>
          <a:p>
            <a:pPr>
              <a:defRPr sz="1240" b="1" i="0" u="none" strike="noStrike" baseline="0">
                <a:solidFill>
                  <a:srgbClr val="000000"/>
                </a:solidFill>
                <a:latin typeface="Calibri"/>
                <a:ea typeface="Calibri"/>
                <a:cs typeface="Calibri"/>
              </a:defRPr>
            </a:pPr>
            <a:endParaRPr lang="en-US"/>
          </a:p>
        </c:txPr>
      </c:legendEntry>
      <c:legendEntry>
        <c:idx val="1"/>
        <c:txPr>
          <a:bodyPr/>
          <a:lstStyle/>
          <a:p>
            <a:pPr>
              <a:defRPr sz="1240" b="1" i="0" u="none" strike="noStrike" baseline="0">
                <a:solidFill>
                  <a:srgbClr val="000000"/>
                </a:solidFill>
                <a:latin typeface="Calibri"/>
                <a:ea typeface="Calibri"/>
                <a:cs typeface="Calibri"/>
              </a:defRPr>
            </a:pPr>
            <a:endParaRPr lang="en-US"/>
          </a:p>
        </c:txPr>
      </c:legendEntry>
      <c:layout>
        <c:manualLayout>
          <c:xMode val="edge"/>
          <c:yMode val="edge"/>
          <c:x val="0.394751805899106"/>
          <c:y val="0.293929743157106"/>
          <c:w val="0.539646342705284"/>
          <c:h val="0.180739360704912"/>
        </c:manualLayout>
      </c:layout>
      <c:overlay val="0"/>
      <c:txPr>
        <a:bodyPr/>
        <a:lstStyle/>
        <a:p>
          <a:pPr>
            <a:defRPr sz="1240" b="1"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 l="0.700000000000001" r="0.700000000000001" t="0.750000000000001"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2000" b="1" i="0" u="none" strike="noStrike" baseline="0">
                <a:solidFill>
                  <a:srgbClr val="000000"/>
                </a:solidFill>
                <a:latin typeface="Calibri"/>
              </a:rPr>
              <a:t>U.S.  CO2 Emissions in Carbon </a:t>
            </a:r>
          </a:p>
          <a:p>
            <a:pPr>
              <a:defRPr sz="1000" b="0" i="0" u="none" strike="noStrike" baseline="0">
                <a:solidFill>
                  <a:srgbClr val="000000"/>
                </a:solidFill>
                <a:latin typeface="Calibri"/>
                <a:ea typeface="Calibri"/>
                <a:cs typeface="Calibri"/>
              </a:defRPr>
            </a:pPr>
            <a:r>
              <a:rPr lang="en-US" sz="2000" b="1" i="0" u="none" strike="noStrike" baseline="0">
                <a:solidFill>
                  <a:srgbClr val="000000"/>
                </a:solidFill>
                <a:latin typeface="Calibri"/>
              </a:rPr>
              <a:t>Tax's 10th Year, details</a:t>
            </a:r>
          </a:p>
        </c:rich>
      </c:tx>
      <c:layout>
        <c:manualLayout>
          <c:xMode val="edge"/>
          <c:yMode val="edge"/>
          <c:x val="0.20777665949651"/>
          <c:y val="0.0394287946626992"/>
        </c:manualLayout>
      </c:layout>
      <c:overlay val="0"/>
    </c:title>
    <c:autoTitleDeleted val="0"/>
    <c:plotArea>
      <c:layout>
        <c:manualLayout>
          <c:layoutTarget val="inner"/>
          <c:xMode val="edge"/>
          <c:yMode val="edge"/>
          <c:x val="0.109603898196936"/>
          <c:y val="0.129646372328459"/>
          <c:w val="0.606144462205383"/>
          <c:h val="0.7419129640045"/>
        </c:manualLayout>
      </c:layout>
      <c:barChart>
        <c:barDir val="col"/>
        <c:grouping val="stacked"/>
        <c:varyColors val="0"/>
        <c:ser>
          <c:idx val="1"/>
          <c:order val="0"/>
          <c:tx>
            <c:v>CO2 Emissions Remaining with Carbon Tax</c:v>
          </c:tx>
          <c:spPr>
            <a:solidFill>
              <a:srgbClr val="FF0000"/>
            </a:solidFill>
          </c:spPr>
          <c:invertIfNegative val="0"/>
          <c:dLbls>
            <c:dLbl>
              <c:idx val="0"/>
              <c:layout>
                <c:manualLayout>
                  <c:x val="-0.00208855472013367"/>
                  <c:y val="-0.0127800431196101"/>
                </c:manualLayout>
              </c:layout>
              <c:dLblPos val="ctr"/>
              <c:showLegendKey val="0"/>
              <c:showVal val="1"/>
              <c:showCatName val="0"/>
              <c:showSerName val="0"/>
              <c:showPercent val="0"/>
              <c:showBubbleSize val="0"/>
            </c:dLbl>
            <c:txPr>
              <a:bodyPr/>
              <a:lstStyle/>
              <a:p>
                <a:pPr>
                  <a:defRPr sz="11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dLbls>
          <c:cat>
            <c:strRef>
              <c:f>Graph_CO2!$B$73:$B$74</c:f>
              <c:strCache>
                <c:ptCount val="2"/>
                <c:pt idx="0">
                  <c:v>Electricity</c:v>
                </c:pt>
                <c:pt idx="1">
                  <c:v>Other Sectors Combined</c:v>
                </c:pt>
              </c:strCache>
            </c:strRef>
          </c:cat>
          <c:val>
            <c:numRef>
              <c:f>Graph_CO2!$Z$73:$Z$74</c:f>
              <c:numCache>
                <c:formatCode>_(* #,##0_);_(* \(#,##0\);_(* "-"??_);_(@_)</c:formatCode>
                <c:ptCount val="2"/>
                <c:pt idx="0">
                  <c:v>1423.815891367754</c:v>
                </c:pt>
                <c:pt idx="1">
                  <c:v>3021.263748003598</c:v>
                </c:pt>
              </c:numCache>
            </c:numRef>
          </c:val>
        </c:ser>
        <c:ser>
          <c:idx val="0"/>
          <c:order val="1"/>
          <c:tx>
            <c:v>CO2 Reductions relative to No-tax Trajectory</c:v>
          </c:tx>
          <c:spPr>
            <a:solidFill>
              <a:srgbClr val="00FF00"/>
            </a:solidFill>
          </c:spPr>
          <c:invertIfNegative val="0"/>
          <c:dLbls>
            <c:dLbl>
              <c:idx val="0"/>
              <c:layout>
                <c:manualLayout>
                  <c:x val="-0.00429979147343425"/>
                  <c:y val="-0.0553805774278216"/>
                </c:manualLayout>
              </c:layout>
              <c:dLblPos val="ctr"/>
              <c:showLegendKey val="0"/>
              <c:showVal val="1"/>
              <c:showCatName val="0"/>
              <c:showSerName val="0"/>
              <c:showPercent val="0"/>
              <c:showBubbleSize val="0"/>
            </c:dLbl>
            <c:dLbl>
              <c:idx val="3"/>
              <c:layout>
                <c:manualLayout>
                  <c:x val="0.0"/>
                  <c:y val="-0.00970873786407767"/>
                </c:manualLayout>
              </c:layout>
              <c:dLblPos val="ctr"/>
              <c:showLegendKey val="0"/>
              <c:showVal val="1"/>
              <c:showCatName val="0"/>
              <c:showSerName val="0"/>
              <c:showPercent val="0"/>
              <c:showBubbleSize val="0"/>
            </c:dLbl>
            <c:txPr>
              <a:bodyPr/>
              <a:lstStyle/>
              <a:p>
                <a:pPr>
                  <a:defRPr sz="11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dLbls>
          <c:cat>
            <c:strRef>
              <c:f>Graph_CO2!$B$73:$B$74</c:f>
              <c:strCache>
                <c:ptCount val="2"/>
                <c:pt idx="0">
                  <c:v>Electricity</c:v>
                </c:pt>
                <c:pt idx="1">
                  <c:v>Other Sectors Combined</c:v>
                </c:pt>
              </c:strCache>
            </c:strRef>
          </c:cat>
          <c:val>
            <c:numRef>
              <c:f>Graph_CO2!$Z$77:$Z$78</c:f>
              <c:numCache>
                <c:formatCode>_(* #,##0_);_(* \(#,##0\);_(* "-"??_);_(@_)</c:formatCode>
                <c:ptCount val="2"/>
                <c:pt idx="0">
                  <c:v>624.5858203327293</c:v>
                </c:pt>
                <c:pt idx="1">
                  <c:v>439.2459314304332</c:v>
                </c:pt>
              </c:numCache>
            </c:numRef>
          </c:val>
        </c:ser>
        <c:dLbls>
          <c:showLegendKey val="0"/>
          <c:showVal val="1"/>
          <c:showCatName val="0"/>
          <c:showSerName val="0"/>
          <c:showPercent val="0"/>
          <c:showBubbleSize val="0"/>
        </c:dLbls>
        <c:gapWidth val="95"/>
        <c:overlap val="100"/>
        <c:axId val="633818520"/>
        <c:axId val="633821704"/>
      </c:barChart>
      <c:catAx>
        <c:axId val="633818520"/>
        <c:scaling>
          <c:orientation val="minMax"/>
        </c:scaling>
        <c:delete val="0"/>
        <c:axPos val="b"/>
        <c:numFmt formatCode="General" sourceLinked="1"/>
        <c:majorTickMark val="none"/>
        <c:minorTickMark val="none"/>
        <c:tickLblPos val="nextTo"/>
        <c:txPr>
          <a:bodyPr rot="0" vert="horz"/>
          <a:lstStyle/>
          <a:p>
            <a:pPr>
              <a:defRPr sz="1400" b="1" i="0" u="none" strike="noStrike" baseline="0">
                <a:solidFill>
                  <a:srgbClr val="000000"/>
                </a:solidFill>
                <a:latin typeface="Calibri"/>
                <a:ea typeface="Calibri"/>
                <a:cs typeface="Calibri"/>
              </a:defRPr>
            </a:pPr>
            <a:endParaRPr lang="en-US"/>
          </a:p>
        </c:txPr>
        <c:crossAx val="633821704"/>
        <c:crosses val="autoZero"/>
        <c:auto val="1"/>
        <c:lblAlgn val="ctr"/>
        <c:lblOffset val="100"/>
        <c:noMultiLvlLbl val="0"/>
      </c:catAx>
      <c:valAx>
        <c:axId val="633821704"/>
        <c:scaling>
          <c:orientation val="minMax"/>
        </c:scaling>
        <c:delete val="0"/>
        <c:axPos val="l"/>
        <c:numFmt formatCode="_(* #,##0_);_(* \(#,##0\);_(* &quot;-&quot;??_);_(@_)" sourceLinked="1"/>
        <c:majorTickMark val="out"/>
        <c:minorTickMark val="none"/>
        <c:tickLblPos val="nextTo"/>
        <c:spPr>
          <a:ln w="9525">
            <a:noFill/>
          </a:ln>
        </c:spPr>
        <c:txPr>
          <a:bodyPr rot="0" vert="horz"/>
          <a:lstStyle/>
          <a:p>
            <a:pPr>
              <a:defRPr sz="1200" b="1" i="0" u="none" strike="noStrike" baseline="0">
                <a:solidFill>
                  <a:srgbClr val="000000"/>
                </a:solidFill>
                <a:latin typeface="Calibri"/>
                <a:ea typeface="Calibri"/>
                <a:cs typeface="Calibri"/>
              </a:defRPr>
            </a:pPr>
            <a:endParaRPr lang="en-US"/>
          </a:p>
        </c:txPr>
        <c:crossAx val="633818520"/>
        <c:crosses val="autoZero"/>
        <c:crossBetween val="between"/>
        <c:majorUnit val="1000.0"/>
      </c:valAx>
    </c:plotArea>
    <c:legend>
      <c:legendPos val="r"/>
      <c:legendEntry>
        <c:idx val="0"/>
        <c:txPr>
          <a:bodyPr/>
          <a:lstStyle/>
          <a:p>
            <a:pPr>
              <a:defRPr sz="1150" b="1" i="0" u="none" strike="noStrike" baseline="0">
                <a:solidFill>
                  <a:srgbClr val="000000"/>
                </a:solidFill>
                <a:latin typeface="Calibri"/>
                <a:ea typeface="Calibri"/>
                <a:cs typeface="Calibri"/>
              </a:defRPr>
            </a:pPr>
            <a:endParaRPr lang="en-US"/>
          </a:p>
        </c:txPr>
      </c:legendEntry>
      <c:legendEntry>
        <c:idx val="1"/>
        <c:txPr>
          <a:bodyPr/>
          <a:lstStyle/>
          <a:p>
            <a:pPr>
              <a:defRPr sz="1150" b="1" i="0" u="none" strike="noStrike" baseline="0">
                <a:solidFill>
                  <a:srgbClr val="000000"/>
                </a:solidFill>
                <a:latin typeface="Calibri"/>
                <a:ea typeface="Calibri"/>
                <a:cs typeface="Calibri"/>
              </a:defRPr>
            </a:pPr>
            <a:endParaRPr lang="en-US"/>
          </a:p>
        </c:txPr>
      </c:legendEntry>
      <c:layout>
        <c:manualLayout>
          <c:xMode val="edge"/>
          <c:yMode val="edge"/>
          <c:x val="0.722190482768602"/>
          <c:y val="0.513661160002058"/>
          <c:w val="0.225898407435913"/>
          <c:h val="0.324225815355969"/>
        </c:manualLayout>
      </c:layout>
      <c:overlay val="0"/>
      <c:spPr>
        <a:solidFill>
          <a:srgbClr val="FFFF00"/>
        </a:solidFill>
        <a:ln>
          <a:solidFill>
            <a:schemeClr val="tx1"/>
          </a:solidFill>
        </a:ln>
      </c:spPr>
      <c:txPr>
        <a:bodyPr/>
        <a:lstStyle/>
        <a:p>
          <a:pPr>
            <a:defRPr sz="1150" b="1"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 l="0.700000000000001" r="0.700000000000001" t="0.750000000000001"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Arial"/>
                <a:ea typeface="Arial"/>
                <a:cs typeface="Arial"/>
              </a:defRPr>
            </a:pPr>
            <a:r>
              <a:rPr lang="en-US" sz="1475" b="1" i="0" u="none" strike="noStrike" baseline="0">
                <a:solidFill>
                  <a:srgbClr val="000000"/>
                </a:solidFill>
                <a:latin typeface="Arial"/>
                <a:cs typeface="Arial"/>
              </a:rPr>
              <a:t>U.S. Petroleum Consumption with Carbon Tax and without </a:t>
            </a:r>
            <a:endParaRPr lang="en-US" sz="2050" b="1" i="0" u="none" strike="noStrike" baseline="0">
              <a:solidFill>
                <a:srgbClr val="000000"/>
              </a:solidFill>
              <a:latin typeface="Arial"/>
              <a:cs typeface="Arial"/>
            </a:endParaRPr>
          </a:p>
          <a:p>
            <a:pPr>
              <a:defRPr sz="1200" b="0" i="0" u="none" strike="noStrike" baseline="0">
                <a:solidFill>
                  <a:srgbClr val="000000"/>
                </a:solidFill>
                <a:latin typeface="Arial"/>
                <a:ea typeface="Arial"/>
                <a:cs typeface="Arial"/>
              </a:defRPr>
            </a:pPr>
            <a:endParaRPr lang="en-US" sz="2050" b="1" i="0" u="none" strike="noStrike" baseline="0">
              <a:solidFill>
                <a:srgbClr val="000000"/>
              </a:solidFill>
              <a:latin typeface="Arial"/>
              <a:cs typeface="Arial"/>
            </a:endParaRPr>
          </a:p>
        </c:rich>
      </c:tx>
      <c:layout>
        <c:manualLayout>
          <c:xMode val="edge"/>
          <c:yMode val="edge"/>
          <c:x val="0.154224753047738"/>
          <c:y val="0.0319049243393312"/>
        </c:manualLayout>
      </c:layout>
      <c:overlay val="0"/>
      <c:spPr>
        <a:noFill/>
        <a:ln w="25400">
          <a:noFill/>
        </a:ln>
      </c:spPr>
    </c:title>
    <c:autoTitleDeleted val="0"/>
    <c:plotArea>
      <c:layout>
        <c:manualLayout>
          <c:layoutTarget val="inner"/>
          <c:xMode val="edge"/>
          <c:yMode val="edge"/>
          <c:x val="0.161899702114275"/>
          <c:y val="0.111371778298264"/>
          <c:w val="0.765257061900495"/>
          <c:h val="0.769832993851159"/>
        </c:manualLayout>
      </c:layout>
      <c:lineChart>
        <c:grouping val="standard"/>
        <c:varyColors val="0"/>
        <c:ser>
          <c:idx val="0"/>
          <c:order val="0"/>
          <c:tx>
            <c:v>No Carbon Price</c:v>
          </c:tx>
          <c:spPr>
            <a:ln w="12700">
              <a:solidFill>
                <a:srgbClr val="000080"/>
              </a:solidFill>
              <a:prstDash val="solid"/>
            </a:ln>
          </c:spPr>
          <c:marker>
            <c:symbol val="diamond"/>
            <c:size val="9"/>
            <c:spPr>
              <a:solidFill>
                <a:srgbClr val="000080"/>
              </a:solidFill>
              <a:ln>
                <a:solidFill>
                  <a:srgbClr val="000080"/>
                </a:solidFill>
                <a:prstDash val="solid"/>
              </a:ln>
            </c:spPr>
          </c:marker>
          <c:cat>
            <c:numRef>
              <c:f>Graph_CO2!$I$6:$AK$6</c:f>
              <c:numCache>
                <c:formatCode>0</c:formatCode>
                <c:ptCount val="29"/>
                <c:pt idx="0">
                  <c:v>2005.0</c:v>
                </c:pt>
                <c:pt idx="1">
                  <c:v>2006.0</c:v>
                </c:pt>
                <c:pt idx="2">
                  <c:v>2007.0</c:v>
                </c:pt>
                <c:pt idx="3">
                  <c:v>2008.0</c:v>
                </c:pt>
                <c:pt idx="4">
                  <c:v>2009.0</c:v>
                </c:pt>
                <c:pt idx="5">
                  <c:v>2010.0</c:v>
                </c:pt>
                <c:pt idx="6">
                  <c:v>2011.0</c:v>
                </c:pt>
                <c:pt idx="7">
                  <c:v>2012.0</c:v>
                </c:pt>
                <c:pt idx="8">
                  <c:v>2015.0</c:v>
                </c:pt>
                <c:pt idx="9">
                  <c:v>2016.0</c:v>
                </c:pt>
                <c:pt idx="10">
                  <c:v>2017.0</c:v>
                </c:pt>
                <c:pt idx="11">
                  <c:v>2018.0</c:v>
                </c:pt>
                <c:pt idx="12">
                  <c:v>2019.0</c:v>
                </c:pt>
                <c:pt idx="13">
                  <c:v>2020.0</c:v>
                </c:pt>
                <c:pt idx="14">
                  <c:v>2021.0</c:v>
                </c:pt>
                <c:pt idx="15">
                  <c:v>2022.0</c:v>
                </c:pt>
                <c:pt idx="16">
                  <c:v>2023.0</c:v>
                </c:pt>
                <c:pt idx="17">
                  <c:v>2024.0</c:v>
                </c:pt>
                <c:pt idx="18">
                  <c:v>2025.0</c:v>
                </c:pt>
                <c:pt idx="19">
                  <c:v>2026.0</c:v>
                </c:pt>
                <c:pt idx="20">
                  <c:v>2027.0</c:v>
                </c:pt>
                <c:pt idx="21">
                  <c:v>2028.0</c:v>
                </c:pt>
                <c:pt idx="22">
                  <c:v>2029.0</c:v>
                </c:pt>
                <c:pt idx="23">
                  <c:v>2030.0</c:v>
                </c:pt>
                <c:pt idx="24">
                  <c:v>2031.0</c:v>
                </c:pt>
                <c:pt idx="25">
                  <c:v>2032.0</c:v>
                </c:pt>
                <c:pt idx="26">
                  <c:v>2033.0</c:v>
                </c:pt>
                <c:pt idx="27">
                  <c:v>2034.0</c:v>
                </c:pt>
                <c:pt idx="28">
                  <c:v>2035.0</c:v>
                </c:pt>
              </c:numCache>
            </c:numRef>
          </c:cat>
          <c:val>
            <c:numRef>
              <c:f>Graph_Oil!$I$50:$AM$50</c:f>
              <c:numCache>
                <c:formatCode>_(* #,##0_);_(* \(#,##0\);_(* "-"??_);_(@_)</c:formatCode>
                <c:ptCount val="31"/>
                <c:pt idx="0">
                  <c:v>21016.46828949932</c:v>
                </c:pt>
                <c:pt idx="1">
                  <c:v>21308.76833432155</c:v>
                </c:pt>
                <c:pt idx="2">
                  <c:v>20957.81201367044</c:v>
                </c:pt>
                <c:pt idx="3">
                  <c:v>20118.59284093655</c:v>
                </c:pt>
                <c:pt idx="4">
                  <c:v>19476.65692127248</c:v>
                </c:pt>
                <c:pt idx="5">
                  <c:v>19798.72709463257</c:v>
                </c:pt>
                <c:pt idx="6">
                  <c:v>19585.93374902815</c:v>
                </c:pt>
                <c:pt idx="7">
                  <c:v>18799.0248253431</c:v>
                </c:pt>
                <c:pt idx="8">
                  <c:v>18759.21671148463</c:v>
                </c:pt>
                <c:pt idx="9">
                  <c:v>18892.78167141085</c:v>
                </c:pt>
                <c:pt idx="10">
                  <c:v>19027.4564080419</c:v>
                </c:pt>
                <c:pt idx="11">
                  <c:v>19163.27769670422</c:v>
                </c:pt>
                <c:pt idx="12">
                  <c:v>19300.28304710226</c:v>
                </c:pt>
                <c:pt idx="13">
                  <c:v>19438.51071290809</c:v>
                </c:pt>
                <c:pt idx="14">
                  <c:v>19577.99970231875</c:v>
                </c:pt>
                <c:pt idx="15">
                  <c:v>19718.78978958465</c:v>
                </c:pt>
                <c:pt idx="16">
                  <c:v>19860.92152751178</c:v>
                </c:pt>
                <c:pt idx="17">
                  <c:v>20004.43626093973</c:v>
                </c:pt>
                <c:pt idx="18">
                  <c:v>20122.21233831412</c:v>
                </c:pt>
                <c:pt idx="19">
                  <c:v>20240.206393612</c:v>
                </c:pt>
                <c:pt idx="20">
                  <c:v>20359.31325537646</c:v>
                </c:pt>
                <c:pt idx="21">
                  <c:v>20479.57016037605</c:v>
                </c:pt>
                <c:pt idx="22">
                  <c:v>20601.01492800298</c:v>
                </c:pt>
                <c:pt idx="23">
                  <c:v>20723.6859725236</c:v>
                </c:pt>
                <c:pt idx="24">
                  <c:v>20847.622316115</c:v>
                </c:pt>
                <c:pt idx="25">
                  <c:v>20972.86360267916</c:v>
                </c:pt>
                <c:pt idx="26">
                  <c:v>21099.45011242668</c:v>
                </c:pt>
                <c:pt idx="27">
                  <c:v>21227.42277722228</c:v>
                </c:pt>
                <c:pt idx="28">
                  <c:v>21371.89279063</c:v>
                </c:pt>
                <c:pt idx="29">
                  <c:v>21517.55569619174</c:v>
                </c:pt>
                <c:pt idx="30">
                  <c:v>21679.18065958457</c:v>
                </c:pt>
              </c:numCache>
            </c:numRef>
          </c:val>
          <c:smooth val="0"/>
        </c:ser>
        <c:ser>
          <c:idx val="2"/>
          <c:order val="1"/>
          <c:tx>
            <c:v>User-Selected Price</c:v>
          </c:tx>
          <c:val>
            <c:numRef>
              <c:f>Graph_Oil!$I$43:$AM$43</c:f>
              <c:numCache>
                <c:formatCode>_(* #,##0_);_(* \(#,##0\);_(* "-"??_);_(@_)</c:formatCode>
                <c:ptCount val="31"/>
                <c:pt idx="0">
                  <c:v>21016.46828949932</c:v>
                </c:pt>
                <c:pt idx="1">
                  <c:v>21308.76833432155</c:v>
                </c:pt>
                <c:pt idx="2">
                  <c:v>20957.81201367044</c:v>
                </c:pt>
                <c:pt idx="3">
                  <c:v>20118.59284093655</c:v>
                </c:pt>
                <c:pt idx="4">
                  <c:v>19476.65692127248</c:v>
                </c:pt>
                <c:pt idx="5">
                  <c:v>19798.72709463257</c:v>
                </c:pt>
                <c:pt idx="6">
                  <c:v>19585.93374902815</c:v>
                </c:pt>
                <c:pt idx="7">
                  <c:v>18799.0248253431</c:v>
                </c:pt>
                <c:pt idx="8">
                  <c:v>16786.57660661307</c:v>
                </c:pt>
                <c:pt idx="9">
                  <c:v>16911.68368034068</c:v>
                </c:pt>
                <c:pt idx="10">
                  <c:v>17036.64591426033</c:v>
                </c:pt>
                <c:pt idx="11">
                  <c:v>17161.46485384354</c:v>
                </c:pt>
                <c:pt idx="12">
                  <c:v>17286.14260454712</c:v>
                </c:pt>
                <c:pt idx="13">
                  <c:v>17410.68181599378</c:v>
                </c:pt>
                <c:pt idx="14">
                  <c:v>17535.08566550548</c:v>
                </c:pt>
                <c:pt idx="15">
                  <c:v>17659.35784107949</c:v>
                </c:pt>
                <c:pt idx="16">
                  <c:v>17783.50252389578</c:v>
                </c:pt>
                <c:pt idx="17">
                  <c:v>17907.52437044148</c:v>
                </c:pt>
                <c:pt idx="18">
                  <c:v>18007.34851539813</c:v>
                </c:pt>
                <c:pt idx="19">
                  <c:v>18106.28104105449</c:v>
                </c:pt>
                <c:pt idx="20">
                  <c:v>18204.8114322083</c:v>
                </c:pt>
                <c:pt idx="21">
                  <c:v>18302.94744833518</c:v>
                </c:pt>
                <c:pt idx="22">
                  <c:v>18400.6971889503</c:v>
                </c:pt>
                <c:pt idx="23">
                  <c:v>18498.06907253437</c:v>
                </c:pt>
                <c:pt idx="24">
                  <c:v>18595.07181576765</c:v>
                </c:pt>
                <c:pt idx="25">
                  <c:v>18691.71441312394</c:v>
                </c:pt>
                <c:pt idx="26">
                  <c:v>18788.00611687222</c:v>
                </c:pt>
                <c:pt idx="27">
                  <c:v>18883.95641752792</c:v>
                </c:pt>
                <c:pt idx="28">
                  <c:v>18992.72613090338</c:v>
                </c:pt>
                <c:pt idx="29">
                  <c:v>19101.00837403288</c:v>
                </c:pt>
                <c:pt idx="30">
                  <c:v>19221.47014397828</c:v>
                </c:pt>
              </c:numCache>
            </c:numRef>
          </c:val>
          <c:smooth val="0"/>
        </c:ser>
        <c:dLbls>
          <c:showLegendKey val="0"/>
          <c:showVal val="0"/>
          <c:showCatName val="0"/>
          <c:showSerName val="0"/>
          <c:showPercent val="0"/>
          <c:showBubbleSize val="0"/>
        </c:dLbls>
        <c:marker val="1"/>
        <c:smooth val="0"/>
        <c:axId val="633909000"/>
        <c:axId val="633912424"/>
      </c:lineChart>
      <c:catAx>
        <c:axId val="633909000"/>
        <c:scaling>
          <c:orientation val="minMax"/>
        </c:scaling>
        <c:delete val="0"/>
        <c:axPos val="b"/>
        <c:minorGridlines/>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633912424"/>
        <c:crosses val="autoZero"/>
        <c:auto val="1"/>
        <c:lblAlgn val="ctr"/>
        <c:lblOffset val="100"/>
        <c:tickLblSkip val="2"/>
        <c:tickMarkSkip val="1"/>
        <c:noMultiLvlLbl val="0"/>
      </c:catAx>
      <c:valAx>
        <c:axId val="633912424"/>
        <c:scaling>
          <c:orientation val="minMax"/>
        </c:scaling>
        <c:delete val="0"/>
        <c:axPos val="l"/>
        <c:majorGridlines>
          <c:spPr>
            <a:ln w="3175">
              <a:solidFill>
                <a:srgbClr val="000000"/>
              </a:solidFill>
              <a:prstDash val="solid"/>
            </a:ln>
          </c:spPr>
        </c:majorGridlines>
        <c:title>
          <c:tx>
            <c:rich>
              <a:bodyPr/>
              <a:lstStyle/>
              <a:p>
                <a:pPr>
                  <a:defRPr sz="1075" b="1" i="0" u="none" strike="noStrike" baseline="0">
                    <a:solidFill>
                      <a:srgbClr val="000000"/>
                    </a:solidFill>
                    <a:latin typeface="Arial"/>
                    <a:ea typeface="Arial"/>
                    <a:cs typeface="Arial"/>
                  </a:defRPr>
                </a:pPr>
                <a:r>
                  <a:rPr lang="en-US"/>
                  <a:t>Thousand Barrels per Day</a:t>
                </a:r>
              </a:p>
            </c:rich>
          </c:tx>
          <c:layout>
            <c:manualLayout>
              <c:xMode val="edge"/>
              <c:yMode val="edge"/>
              <c:x val="0.0298004704429248"/>
              <c:y val="0.32630001800316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33909000"/>
        <c:crosses val="autoZero"/>
        <c:crossBetween val="midCat"/>
        <c:minorUnit val="500.0"/>
      </c:valAx>
      <c:spPr>
        <a:solidFill>
          <a:srgbClr val="C0C0C0"/>
        </a:solidFill>
        <a:ln w="12700">
          <a:solidFill>
            <a:srgbClr val="808080"/>
          </a:solidFill>
          <a:prstDash val="solid"/>
        </a:ln>
      </c:spPr>
    </c:plotArea>
    <c:legend>
      <c:legendPos val="r"/>
      <c:layout>
        <c:manualLayout>
          <c:xMode val="edge"/>
          <c:yMode val="edge"/>
          <c:x val="0.398845386541215"/>
          <c:y val="0.367497654850905"/>
          <c:w val="0.25505120683444"/>
          <c:h val="0.116343557235851"/>
        </c:manualLayout>
      </c:layout>
      <c:overlay val="0"/>
      <c:spPr>
        <a:solidFill>
          <a:srgbClr val="FFFFFF"/>
        </a:solidFill>
        <a:ln w="3175">
          <a:solidFill>
            <a:srgbClr val="000000"/>
          </a:solidFill>
          <a:prstDash val="solid"/>
        </a:ln>
      </c:spPr>
      <c:txPr>
        <a:bodyPr/>
        <a:lstStyle/>
        <a:p>
          <a:pPr>
            <a:defRPr sz="525"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0" l="0.750000000000001" r="0.750000000000001" t="1.0" header="0.5" footer="0.5"/>
    <c:pageSetup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60" b="1" i="0" u="none" strike="noStrike" baseline="0">
                <a:solidFill>
                  <a:srgbClr val="000000"/>
                </a:solidFill>
                <a:latin typeface="Calibri"/>
                <a:ea typeface="Calibri"/>
                <a:cs typeface="Calibri"/>
              </a:defRPr>
            </a:pPr>
            <a:r>
              <a:rPr lang="en-US"/>
              <a:t>U.S. Petroleum Consumption in 10th Year of Carbon Tax, by Sector</a:t>
            </a:r>
          </a:p>
        </c:rich>
      </c:tx>
      <c:layout>
        <c:manualLayout>
          <c:xMode val="edge"/>
          <c:yMode val="edge"/>
          <c:x val="0.11499347897498"/>
          <c:y val="0.0365336705870024"/>
        </c:manualLayout>
      </c:layout>
      <c:overlay val="0"/>
    </c:title>
    <c:autoTitleDeleted val="0"/>
    <c:plotArea>
      <c:layout>
        <c:manualLayout>
          <c:layoutTarget val="inner"/>
          <c:xMode val="edge"/>
          <c:yMode val="edge"/>
          <c:x val="0.0199004975124378"/>
          <c:y val="0.225300072785019"/>
          <c:w val="0.894365037214923"/>
          <c:h val="0.538878313287762"/>
        </c:manualLayout>
      </c:layout>
      <c:barChart>
        <c:barDir val="col"/>
        <c:grouping val="stacked"/>
        <c:varyColors val="0"/>
        <c:ser>
          <c:idx val="1"/>
          <c:order val="0"/>
          <c:tx>
            <c:v>Petroleum Use with Carbon Tax</c:v>
          </c:tx>
          <c:spPr>
            <a:solidFill>
              <a:srgbClr val="FF0000"/>
            </a:solidFill>
          </c:spPr>
          <c:invertIfNegative val="0"/>
          <c:dLbls>
            <c:dLbl>
              <c:idx val="0"/>
              <c:layout>
                <c:manualLayout>
                  <c:x val="-0.00419831809436919"/>
                  <c:y val="-0.114199475065617"/>
                </c:manualLayout>
              </c:layout>
              <c:dLblPos val="ctr"/>
              <c:showLegendKey val="0"/>
              <c:showVal val="1"/>
              <c:showCatName val="0"/>
              <c:showSerName val="0"/>
              <c:showPercent val="0"/>
              <c:showBubbleSize val="0"/>
            </c:dLbl>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dLbls>
          <c:cat>
            <c:strRef>
              <c:f>Graph_Oil!$B$70:$B$75</c:f>
              <c:strCache>
                <c:ptCount val="6"/>
                <c:pt idx="0">
                  <c:v>  Electricity</c:v>
                </c:pt>
                <c:pt idx="1">
                  <c:v>  Personal Ground Travel </c:v>
                </c:pt>
                <c:pt idx="2">
                  <c:v>  Freight</c:v>
                </c:pt>
                <c:pt idx="3">
                  <c:v>  Aviation</c:v>
                </c:pt>
                <c:pt idx="4">
                  <c:v>  "Other" Petroleum</c:v>
                </c:pt>
                <c:pt idx="5">
                  <c:v>  "Other" Methane</c:v>
                </c:pt>
              </c:strCache>
            </c:strRef>
          </c:cat>
          <c:val>
            <c:numRef>
              <c:f>Graph_Oil!$Z$62:$Z$67</c:f>
              <c:numCache>
                <c:formatCode>_(* #,##0_);_(* \(#,##0\);_(* "-"??_);_(@_)</c:formatCode>
                <c:ptCount val="6"/>
                <c:pt idx="0">
                  <c:v>81.54550612914088</c:v>
                </c:pt>
                <c:pt idx="1">
                  <c:v>8443.903954338055</c:v>
                </c:pt>
                <c:pt idx="2">
                  <c:v>2715.760181611593</c:v>
                </c:pt>
                <c:pt idx="3">
                  <c:v>1302.305495399347</c:v>
                </c:pt>
                <c:pt idx="4">
                  <c:v>5364.00923296334</c:v>
                </c:pt>
                <c:pt idx="5">
                  <c:v>0.0</c:v>
                </c:pt>
              </c:numCache>
            </c:numRef>
          </c:val>
        </c:ser>
        <c:ser>
          <c:idx val="0"/>
          <c:order val="1"/>
          <c:tx>
            <c:v>Petroleum Savings from Carbon Tax (vs. Trajectory w/o Tax)</c:v>
          </c:tx>
          <c:spPr>
            <a:solidFill>
              <a:srgbClr val="00FF00"/>
            </a:solidFill>
          </c:spPr>
          <c:invertIfNegative val="0"/>
          <c:dLbls>
            <c:dLbl>
              <c:idx val="0"/>
              <c:layout>
                <c:manualLayout>
                  <c:x val="-0.00221113733579273"/>
                  <c:y val="-0.0565250497533962"/>
                </c:manualLayout>
              </c:layout>
              <c:dLblPos val="ctr"/>
              <c:showLegendKey val="0"/>
              <c:showVal val="1"/>
              <c:showCatName val="0"/>
              <c:showSerName val="0"/>
              <c:showPercent val="0"/>
              <c:showBubbleSize val="0"/>
            </c:dLbl>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dLbls>
          <c:cat>
            <c:strRef>
              <c:f>Graph_Oil!$B$70:$B$75</c:f>
              <c:strCache>
                <c:ptCount val="6"/>
                <c:pt idx="0">
                  <c:v>  Electricity</c:v>
                </c:pt>
                <c:pt idx="1">
                  <c:v>  Personal Ground Travel </c:v>
                </c:pt>
                <c:pt idx="2">
                  <c:v>  Freight</c:v>
                </c:pt>
                <c:pt idx="3">
                  <c:v>  Aviation</c:v>
                </c:pt>
                <c:pt idx="4">
                  <c:v>  "Other" Petroleum</c:v>
                </c:pt>
                <c:pt idx="5">
                  <c:v>  "Other" Methane</c:v>
                </c:pt>
              </c:strCache>
            </c:strRef>
          </c:cat>
          <c:val>
            <c:numRef>
              <c:f>Graph_Oil!$Z$70:$Z$75</c:f>
              <c:numCache>
                <c:formatCode>_(* #,##0_);_(* \(#,##0\);_(* "-"??_);_(@_)</c:formatCode>
                <c:ptCount val="6"/>
                <c:pt idx="0">
                  <c:v>35.79870670634535</c:v>
                </c:pt>
                <c:pt idx="1">
                  <c:v>575.892971361005</c:v>
                </c:pt>
                <c:pt idx="2">
                  <c:v>410.5588297377576</c:v>
                </c:pt>
                <c:pt idx="3">
                  <c:v>621.4538860570305</c:v>
                </c:pt>
                <c:pt idx="4">
                  <c:v>453.2074966361142</c:v>
                </c:pt>
                <c:pt idx="5">
                  <c:v>0.0</c:v>
                </c:pt>
              </c:numCache>
            </c:numRef>
          </c:val>
        </c:ser>
        <c:dLbls>
          <c:showLegendKey val="0"/>
          <c:showVal val="1"/>
          <c:showCatName val="0"/>
          <c:showSerName val="0"/>
          <c:showPercent val="0"/>
          <c:showBubbleSize val="0"/>
        </c:dLbls>
        <c:gapWidth val="95"/>
        <c:overlap val="100"/>
        <c:axId val="633970456"/>
        <c:axId val="633973640"/>
      </c:barChart>
      <c:catAx>
        <c:axId val="633970456"/>
        <c:scaling>
          <c:orientation val="minMax"/>
        </c:scaling>
        <c:delete val="0"/>
        <c:axPos val="b"/>
        <c:numFmt formatCode="General" sourceLinked="1"/>
        <c:majorTickMark val="none"/>
        <c:minorTickMark val="none"/>
        <c:tickLblPos val="nextTo"/>
        <c:txPr>
          <a:bodyPr rot="0" vert="horz"/>
          <a:lstStyle/>
          <a:p>
            <a:pPr>
              <a:defRPr sz="1000" b="1" i="0" u="none" strike="noStrike" baseline="0">
                <a:solidFill>
                  <a:srgbClr val="000000"/>
                </a:solidFill>
                <a:latin typeface="Calibri"/>
                <a:ea typeface="Calibri"/>
                <a:cs typeface="Calibri"/>
              </a:defRPr>
            </a:pPr>
            <a:endParaRPr lang="en-US"/>
          </a:p>
        </c:txPr>
        <c:crossAx val="633973640"/>
        <c:crosses val="autoZero"/>
        <c:auto val="1"/>
        <c:lblAlgn val="ctr"/>
        <c:lblOffset val="100"/>
        <c:noMultiLvlLbl val="0"/>
      </c:catAx>
      <c:valAx>
        <c:axId val="633973640"/>
        <c:scaling>
          <c:orientation val="minMax"/>
        </c:scaling>
        <c:delete val="0"/>
        <c:axPos val="l"/>
        <c:numFmt formatCode="_(* #,##0_);_(* \(#,##0\);_(* &quot;-&quot;??_);_(@_)" sourceLinked="1"/>
        <c:majorTickMark val="out"/>
        <c:minorTickMark val="none"/>
        <c:tickLblPos val="nextTo"/>
        <c:spPr>
          <a:ln w="9525">
            <a:noFill/>
          </a:ln>
        </c:spPr>
        <c:txPr>
          <a:bodyPr rot="0" vert="horz"/>
          <a:lstStyle/>
          <a:p>
            <a:pPr>
              <a:defRPr sz="900" b="1" i="0" u="none" strike="noStrike" baseline="0">
                <a:solidFill>
                  <a:srgbClr val="000000"/>
                </a:solidFill>
                <a:latin typeface="Calibri"/>
                <a:ea typeface="Calibri"/>
                <a:cs typeface="Calibri"/>
              </a:defRPr>
            </a:pPr>
            <a:endParaRPr lang="en-US"/>
          </a:p>
        </c:txPr>
        <c:crossAx val="633970456"/>
        <c:crosses val="autoZero"/>
        <c:crossBetween val="between"/>
        <c:majorUnit val="2000.0"/>
      </c:valAx>
    </c:plotArea>
    <c:legend>
      <c:legendPos val="b"/>
      <c:legendEntry>
        <c:idx val="0"/>
        <c:txPr>
          <a:bodyPr/>
          <a:lstStyle/>
          <a:p>
            <a:pPr>
              <a:defRPr sz="715" b="0" i="0" u="none" strike="noStrike" baseline="0">
                <a:solidFill>
                  <a:srgbClr val="000000"/>
                </a:solidFill>
                <a:latin typeface="Calibri"/>
                <a:ea typeface="Calibri"/>
                <a:cs typeface="Calibri"/>
              </a:defRPr>
            </a:pPr>
            <a:endParaRPr lang="en-US"/>
          </a:p>
        </c:txPr>
      </c:legendEntry>
      <c:legendEntry>
        <c:idx val="1"/>
        <c:txPr>
          <a:bodyPr/>
          <a:lstStyle/>
          <a:p>
            <a:pPr>
              <a:defRPr sz="715" b="0" i="0" u="none" strike="noStrike" baseline="0">
                <a:solidFill>
                  <a:srgbClr val="000000"/>
                </a:solidFill>
                <a:latin typeface="Calibri"/>
                <a:ea typeface="Calibri"/>
                <a:cs typeface="Calibri"/>
              </a:defRPr>
            </a:pPr>
            <a:endParaRPr lang="en-US"/>
          </a:p>
        </c:txPr>
      </c:legendEntry>
      <c:layout>
        <c:manualLayout>
          <c:xMode val="edge"/>
          <c:yMode val="edge"/>
          <c:x val="0.0688099861123308"/>
          <c:y val="0.131725424067908"/>
          <c:w val="0.866328256365724"/>
          <c:h val="0.0630797738304491"/>
        </c:manualLayout>
      </c:layout>
      <c:overlay val="0"/>
      <c:txPr>
        <a:bodyPr/>
        <a:lstStyle/>
        <a:p>
          <a:pPr>
            <a:defRPr sz="71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50" b="1" i="0" u="none" strike="noStrike" baseline="0">
                <a:solidFill>
                  <a:srgbClr val="000000"/>
                </a:solidFill>
                <a:latin typeface="Arial"/>
                <a:ea typeface="Arial"/>
                <a:cs typeface="Arial"/>
              </a:defRPr>
            </a:pPr>
            <a:r>
              <a:rPr lang="en-US"/>
              <a:t>Carbon Tax Revenues</a:t>
            </a:r>
          </a:p>
        </c:rich>
      </c:tx>
      <c:layout>
        <c:manualLayout>
          <c:xMode val="edge"/>
          <c:yMode val="edge"/>
          <c:x val="0.278842492486367"/>
          <c:y val="0.0308833924008087"/>
        </c:manualLayout>
      </c:layout>
      <c:overlay val="0"/>
      <c:spPr>
        <a:noFill/>
        <a:ln w="25400">
          <a:noFill/>
        </a:ln>
      </c:spPr>
    </c:title>
    <c:autoTitleDeleted val="0"/>
    <c:plotArea>
      <c:layout>
        <c:manualLayout>
          <c:layoutTarget val="inner"/>
          <c:xMode val="edge"/>
          <c:yMode val="edge"/>
          <c:x val="0.16259884581735"/>
          <c:y val="0.136817101548507"/>
          <c:w val="0.79976149311885"/>
          <c:h val="0.74438776021318"/>
        </c:manualLayout>
      </c:layout>
      <c:lineChart>
        <c:grouping val="standard"/>
        <c:varyColors val="0"/>
        <c:ser>
          <c:idx val="0"/>
          <c:order val="0"/>
          <c:tx>
            <c:v>Carbon Tax Revenue</c:v>
          </c:tx>
          <c:spPr>
            <a:ln w="12700">
              <a:solidFill>
                <a:srgbClr val="000080"/>
              </a:solidFill>
              <a:prstDash val="solid"/>
            </a:ln>
          </c:spPr>
          <c:marker>
            <c:symbol val="diamond"/>
            <c:size val="9"/>
            <c:spPr>
              <a:solidFill>
                <a:srgbClr val="FF0000"/>
              </a:solidFill>
              <a:ln>
                <a:solidFill>
                  <a:srgbClr val="000080"/>
                </a:solidFill>
                <a:prstDash val="solid"/>
              </a:ln>
            </c:spPr>
          </c:marker>
          <c:cat>
            <c:numRef>
              <c:f>Graph_Revenue!$I$5:$AE$5</c:f>
              <c:numCache>
                <c:formatCode>0</c:formatCode>
                <c:ptCount val="23"/>
                <c:pt idx="0">
                  <c:v>2015.0</c:v>
                </c:pt>
                <c:pt idx="1">
                  <c:v>2016.0</c:v>
                </c:pt>
                <c:pt idx="2">
                  <c:v>2017.0</c:v>
                </c:pt>
                <c:pt idx="3">
                  <c:v>2018.0</c:v>
                </c:pt>
                <c:pt idx="4">
                  <c:v>2019.0</c:v>
                </c:pt>
                <c:pt idx="5">
                  <c:v>2020.0</c:v>
                </c:pt>
                <c:pt idx="6">
                  <c:v>2021.0</c:v>
                </c:pt>
                <c:pt idx="7">
                  <c:v>2022.0</c:v>
                </c:pt>
                <c:pt idx="8">
                  <c:v>2023.0</c:v>
                </c:pt>
                <c:pt idx="9">
                  <c:v>2024.0</c:v>
                </c:pt>
                <c:pt idx="10">
                  <c:v>2025.0</c:v>
                </c:pt>
                <c:pt idx="11">
                  <c:v>2026.0</c:v>
                </c:pt>
                <c:pt idx="12">
                  <c:v>2027.0</c:v>
                </c:pt>
                <c:pt idx="13">
                  <c:v>2028.0</c:v>
                </c:pt>
                <c:pt idx="14">
                  <c:v>2029.0</c:v>
                </c:pt>
                <c:pt idx="15">
                  <c:v>2030.0</c:v>
                </c:pt>
                <c:pt idx="16">
                  <c:v>2031.0</c:v>
                </c:pt>
                <c:pt idx="17">
                  <c:v>2032.0</c:v>
                </c:pt>
                <c:pt idx="18">
                  <c:v>2033.0</c:v>
                </c:pt>
                <c:pt idx="19">
                  <c:v>2034.0</c:v>
                </c:pt>
                <c:pt idx="20">
                  <c:v>2035.0</c:v>
                </c:pt>
                <c:pt idx="21">
                  <c:v>2036.0</c:v>
                </c:pt>
                <c:pt idx="22">
                  <c:v>2037.0</c:v>
                </c:pt>
              </c:numCache>
            </c:numRef>
          </c:cat>
          <c:val>
            <c:numRef>
              <c:f>Graph_Revenue!$I$7:$AE$7</c:f>
              <c:numCache>
                <c:formatCode>"$"#,##0_);\("$"#,##0\)</c:formatCode>
                <c:ptCount val="23"/>
                <c:pt idx="0">
                  <c:v>362.4795701266298</c:v>
                </c:pt>
                <c:pt idx="1">
                  <c:v>371.0080874106498</c:v>
                </c:pt>
                <c:pt idx="2">
                  <c:v>379.9617619750452</c:v>
                </c:pt>
                <c:pt idx="3">
                  <c:v>389.041022389753</c:v>
                </c:pt>
                <c:pt idx="4">
                  <c:v>398.3463044233358</c:v>
                </c:pt>
                <c:pt idx="5">
                  <c:v>407.5780511639542</c:v>
                </c:pt>
                <c:pt idx="6">
                  <c:v>417.2367131423715</c:v>
                </c:pt>
                <c:pt idx="7">
                  <c:v>427.1227484570259</c:v>
                </c:pt>
                <c:pt idx="8">
                  <c:v>437.236622901203</c:v>
                </c:pt>
                <c:pt idx="9">
                  <c:v>447.678810092345</c:v>
                </c:pt>
                <c:pt idx="10">
                  <c:v>457.6497916035325</c:v>
                </c:pt>
                <c:pt idx="11">
                  <c:v>467.2901835472487</c:v>
                </c:pt>
                <c:pt idx="12">
                  <c:v>477.1396770403999</c:v>
                </c:pt>
                <c:pt idx="13">
                  <c:v>487.0983360612032</c:v>
                </c:pt>
                <c:pt idx="14">
                  <c:v>497.266226198375</c:v>
                </c:pt>
                <c:pt idx="15">
                  <c:v>507.6434146557578</c:v>
                </c:pt>
                <c:pt idx="16">
                  <c:v>518.129970256267</c:v>
                </c:pt>
                <c:pt idx="17">
                  <c:v>529.0259634451941</c:v>
                </c:pt>
                <c:pt idx="18">
                  <c:v>539.9314662928989</c:v>
                </c:pt>
                <c:pt idx="19">
                  <c:v>551.3465524969346</c:v>
                </c:pt>
                <c:pt idx="20">
                  <c:v>562.9712973836332</c:v>
                </c:pt>
                <c:pt idx="21">
                  <c:v>574.191045434434</c:v>
                </c:pt>
                <c:pt idx="22">
                  <c:v>585.9093021745827</c:v>
                </c:pt>
              </c:numCache>
            </c:numRef>
          </c:val>
          <c:smooth val="0"/>
        </c:ser>
        <c:ser>
          <c:idx val="1"/>
          <c:order val="1"/>
          <c:tx>
            <c:v>Per-Household Dividend</c:v>
          </c:tx>
          <c:marker>
            <c:spPr>
              <a:solidFill>
                <a:srgbClr val="00B0F0"/>
              </a:solidFill>
            </c:spPr>
          </c:marker>
          <c:val>
            <c:numRef>
              <c:f>Graph_Revenue!$I$9:$AE$9</c:f>
              <c:numCache>
                <c:formatCode>"$"#,##0_);\("$"#,##0\)</c:formatCode>
                <c:ptCount val="23"/>
                <c:pt idx="0">
                  <c:v>2955.51853012051</c:v>
                </c:pt>
                <c:pt idx="1">
                  <c:v>2459.895365452386</c:v>
                </c:pt>
                <c:pt idx="2">
                  <c:v>2499.922026989607</c:v>
                </c:pt>
                <c:pt idx="3">
                  <c:v>2540.057646087911</c:v>
                </c:pt>
                <c:pt idx="4">
                  <c:v>2580.96926227408</c:v>
                </c:pt>
                <c:pt idx="5">
                  <c:v>2620.717315943968</c:v>
                </c:pt>
                <c:pt idx="6">
                  <c:v>2662.566293246397</c:v>
                </c:pt>
                <c:pt idx="7">
                  <c:v>2705.236200149039</c:v>
                </c:pt>
                <c:pt idx="8">
                  <c:v>2748.752581450157</c:v>
                </c:pt>
                <c:pt idx="9">
                  <c:v>2793.742400670504</c:v>
                </c:pt>
                <c:pt idx="10">
                  <c:v>2835.264646133607</c:v>
                </c:pt>
                <c:pt idx="11">
                  <c:v>2874.28037073234</c:v>
                </c:pt>
                <c:pt idx="12">
                  <c:v>2914.169256367639</c:v>
                </c:pt>
                <c:pt idx="13">
                  <c:v>2954.355014981622</c:v>
                </c:pt>
                <c:pt idx="14">
                  <c:v>2995.442126638565</c:v>
                </c:pt>
                <c:pt idx="15">
                  <c:v>3037.437683214304</c:v>
                </c:pt>
                <c:pt idx="16">
                  <c:v>3079.738322475898</c:v>
                </c:pt>
                <c:pt idx="17">
                  <c:v>3124.274744769782</c:v>
                </c:pt>
                <c:pt idx="18">
                  <c:v>3168.672855873718</c:v>
                </c:pt>
                <c:pt idx="19">
                  <c:v>3215.850121045863</c:v>
                </c:pt>
                <c:pt idx="20">
                  <c:v>3264.032656416121</c:v>
                </c:pt>
                <c:pt idx="21">
                  <c:v>3309.639849846914</c:v>
                </c:pt>
                <c:pt idx="22">
                  <c:v>3357.872142654713</c:v>
                </c:pt>
              </c:numCache>
            </c:numRef>
          </c:val>
          <c:smooth val="0"/>
        </c:ser>
        <c:dLbls>
          <c:showLegendKey val="0"/>
          <c:showVal val="0"/>
          <c:showCatName val="0"/>
          <c:showSerName val="0"/>
          <c:showPercent val="0"/>
          <c:showBubbleSize val="0"/>
        </c:dLbls>
        <c:marker val="1"/>
        <c:smooth val="0"/>
        <c:axId val="634048632"/>
        <c:axId val="634053368"/>
      </c:lineChart>
      <c:catAx>
        <c:axId val="634048632"/>
        <c:scaling>
          <c:orientation val="minMax"/>
        </c:scaling>
        <c:delete val="0"/>
        <c:axPos val="b"/>
        <c:min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34053368"/>
        <c:crosses val="autoZero"/>
        <c:auto val="1"/>
        <c:lblAlgn val="ctr"/>
        <c:lblOffset val="100"/>
        <c:tickLblSkip val="2"/>
        <c:tickMarkSkip val="2"/>
        <c:noMultiLvlLbl val="0"/>
      </c:catAx>
      <c:valAx>
        <c:axId val="634053368"/>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 per year (revenue line is in billions)</a:t>
                </a:r>
              </a:p>
            </c:rich>
          </c:tx>
          <c:layout>
            <c:manualLayout>
              <c:xMode val="edge"/>
              <c:yMode val="edge"/>
              <c:x val="0.0238338569077829"/>
              <c:y val="0.17338849592953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150" b="1" i="0" u="none" strike="noStrike" baseline="0">
                <a:solidFill>
                  <a:srgbClr val="000000"/>
                </a:solidFill>
                <a:latin typeface="Arial"/>
                <a:ea typeface="Arial"/>
                <a:cs typeface="Arial"/>
              </a:defRPr>
            </a:pPr>
            <a:endParaRPr lang="en-US"/>
          </a:p>
        </c:txPr>
        <c:crossAx val="634048632"/>
        <c:crosses val="autoZero"/>
        <c:crossBetween val="midCat"/>
        <c:majorUnit val="2000.0"/>
      </c:valAx>
      <c:spPr>
        <a:solidFill>
          <a:srgbClr val="C0C0C0"/>
        </a:solidFill>
        <a:ln w="12700">
          <a:solidFill>
            <a:srgbClr val="808080"/>
          </a:solidFill>
          <a:prstDash val="solid"/>
        </a:ln>
      </c:spPr>
    </c:plotArea>
    <c:legend>
      <c:legendPos val="r"/>
      <c:layout>
        <c:manualLayout>
          <c:xMode val="edge"/>
          <c:yMode val="edge"/>
          <c:x val="0.191094134606231"/>
          <c:y val="0.368015332829159"/>
          <c:w val="0.259510525886337"/>
          <c:h val="0.161849825269017"/>
        </c:manualLayout>
      </c:layout>
      <c:overlay val="0"/>
      <c:spPr>
        <a:solidFill>
          <a:srgbClr val="FFFFFF"/>
        </a:solidFill>
        <a:ln w="3175">
          <a:solidFill>
            <a:srgbClr val="000000"/>
          </a:solidFill>
          <a:prstDash val="solid"/>
        </a:ln>
      </c:spPr>
      <c:txPr>
        <a:bodyPr/>
        <a:lstStyle/>
        <a:p>
          <a:pPr>
            <a:defRPr sz="775"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0" l="0.750000000000001" r="0.750000000000001" t="1.0" header="0.5" footer="0.5"/>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chart" Target="../charts/chart1.xml"/><Relationship Id="rId3" Type="http://schemas.openxmlformats.org/officeDocument/2006/relationships/chart" Target="../charts/chart2.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 Id="rId2" Type="http://schemas.openxmlformats.org/officeDocument/2006/relationships/chart" Target="../charts/chart8.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9.xml"/><Relationship Id="rId2" Type="http://schemas.openxmlformats.org/officeDocument/2006/relationships/chart" Target="../charts/chart10.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13.xml"/><Relationship Id="rId4" Type="http://schemas.openxmlformats.org/officeDocument/2006/relationships/chart" Target="../charts/chart14.xml"/><Relationship Id="rId5" Type="http://schemas.openxmlformats.org/officeDocument/2006/relationships/chart" Target="../charts/chart15.xml"/><Relationship Id="rId6" Type="http://schemas.openxmlformats.org/officeDocument/2006/relationships/chart" Target="../charts/chart16.xml"/><Relationship Id="rId7" Type="http://schemas.openxmlformats.org/officeDocument/2006/relationships/chart" Target="../charts/chart17.xml"/><Relationship Id="rId8" Type="http://schemas.openxmlformats.org/officeDocument/2006/relationships/chart" Target="../charts/chart18.xml"/><Relationship Id="rId9" Type="http://schemas.openxmlformats.org/officeDocument/2006/relationships/chart" Target="../charts/chart19.xml"/><Relationship Id="rId1" Type="http://schemas.openxmlformats.org/officeDocument/2006/relationships/chart" Target="../charts/chart11.xml"/><Relationship Id="rId2" Type="http://schemas.openxmlformats.org/officeDocument/2006/relationships/chart" Target="../charts/chart1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 Id="rId2" Type="http://schemas.openxmlformats.org/officeDocument/2006/relationships/chart" Target="../charts/chart5.xml"/><Relationship Id="rId3"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6</xdr:col>
      <xdr:colOff>335280</xdr:colOff>
      <xdr:row>68</xdr:row>
      <xdr:rowOff>99060</xdr:rowOff>
    </xdr:from>
    <xdr:to>
      <xdr:col>8</xdr:col>
      <xdr:colOff>624840</xdr:colOff>
      <xdr:row>68</xdr:row>
      <xdr:rowOff>129540</xdr:rowOff>
    </xdr:to>
    <xdr:sp macro="" textlink="">
      <xdr:nvSpPr>
        <xdr:cNvPr id="10005616" name="Line 7"/>
        <xdr:cNvSpPr>
          <a:spLocks noChangeShapeType="1"/>
        </xdr:cNvSpPr>
      </xdr:nvSpPr>
      <xdr:spPr bwMode="auto">
        <a:xfrm flipV="1">
          <a:off x="4259580" y="10767060"/>
          <a:ext cx="1584960" cy="30480"/>
        </a:xfrm>
        <a:prstGeom prst="line">
          <a:avLst/>
        </a:prstGeom>
        <a:noFill/>
        <a:ln w="9525">
          <a:solidFill>
            <a:srgbClr val="000000"/>
          </a:solidFill>
          <a:round/>
          <a:headEnd/>
          <a:tailEnd type="triangle" w="med" len="med"/>
        </a:ln>
      </xdr:spPr>
    </xdr:sp>
    <xdr:clientData/>
  </xdr:twoCellAnchor>
  <xdr:twoCellAnchor>
    <xdr:from>
      <xdr:col>6</xdr:col>
      <xdr:colOff>342900</xdr:colOff>
      <xdr:row>66</xdr:row>
      <xdr:rowOff>83820</xdr:rowOff>
    </xdr:from>
    <xdr:to>
      <xdr:col>8</xdr:col>
      <xdr:colOff>632460</xdr:colOff>
      <xdr:row>66</xdr:row>
      <xdr:rowOff>121920</xdr:rowOff>
    </xdr:to>
    <xdr:sp macro="" textlink="">
      <xdr:nvSpPr>
        <xdr:cNvPr id="10005617" name="Line 7"/>
        <xdr:cNvSpPr>
          <a:spLocks noChangeShapeType="1"/>
        </xdr:cNvSpPr>
      </xdr:nvSpPr>
      <xdr:spPr bwMode="auto">
        <a:xfrm flipV="1">
          <a:off x="4267200" y="10370820"/>
          <a:ext cx="1584960" cy="38100"/>
        </a:xfrm>
        <a:prstGeom prst="line">
          <a:avLst/>
        </a:prstGeom>
        <a:noFill/>
        <a:ln w="9525">
          <a:solidFill>
            <a:srgbClr val="000000"/>
          </a:solidFill>
          <a:round/>
          <a:headEnd/>
          <a:tailEnd type="triangle" w="med" len="med"/>
        </a:ln>
      </xdr:spPr>
    </xdr:sp>
    <xdr:clientData/>
  </xdr:twoCellAnchor>
  <xdr:twoCellAnchor>
    <xdr:from>
      <xdr:col>9</xdr:col>
      <xdr:colOff>539115</xdr:colOff>
      <xdr:row>73</xdr:row>
      <xdr:rowOff>121920</xdr:rowOff>
    </xdr:from>
    <xdr:to>
      <xdr:col>11</xdr:col>
      <xdr:colOff>81915</xdr:colOff>
      <xdr:row>74</xdr:row>
      <xdr:rowOff>91440</xdr:rowOff>
    </xdr:to>
    <xdr:cxnSp macro="">
      <xdr:nvCxnSpPr>
        <xdr:cNvPr id="7" name="Straight Arrow Connector 6"/>
        <xdr:cNvCxnSpPr/>
      </xdr:nvCxnSpPr>
      <xdr:spPr>
        <a:xfrm flipH="1">
          <a:off x="6118860" y="12001500"/>
          <a:ext cx="838200" cy="13716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327660</xdr:colOff>
      <xdr:row>109</xdr:row>
      <xdr:rowOff>1905</xdr:rowOff>
    </xdr:from>
    <xdr:to>
      <xdr:col>7</xdr:col>
      <xdr:colOff>331470</xdr:colOff>
      <xdr:row>111</xdr:row>
      <xdr:rowOff>15346</xdr:rowOff>
    </xdr:to>
    <xdr:cxnSp macro="">
      <xdr:nvCxnSpPr>
        <xdr:cNvPr id="10" name="Straight Connector 9"/>
        <xdr:cNvCxnSpPr/>
      </xdr:nvCxnSpPr>
      <xdr:spPr>
        <a:xfrm>
          <a:off x="4122420" y="14544675"/>
          <a:ext cx="7620" cy="367771"/>
        </a:xfrm>
        <a:prstGeom prst="line">
          <a:avLst/>
        </a:prstGeom>
        <a:ln w="3175">
          <a:no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577215</xdr:colOff>
      <xdr:row>78</xdr:row>
      <xdr:rowOff>160020</xdr:rowOff>
    </xdr:from>
    <xdr:to>
      <xdr:col>11</xdr:col>
      <xdr:colOff>153213</xdr:colOff>
      <xdr:row>80</xdr:row>
      <xdr:rowOff>61178</xdr:rowOff>
    </xdr:to>
    <xdr:cxnSp macro="">
      <xdr:nvCxnSpPr>
        <xdr:cNvPr id="8" name="Straight Arrow Connector 7"/>
        <xdr:cNvCxnSpPr/>
      </xdr:nvCxnSpPr>
      <xdr:spPr>
        <a:xfrm flipH="1" flipV="1">
          <a:off x="6301740" y="10843260"/>
          <a:ext cx="862837" cy="26670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541020</xdr:colOff>
      <xdr:row>14</xdr:row>
      <xdr:rowOff>30480</xdr:rowOff>
    </xdr:from>
    <xdr:to>
      <xdr:col>9</xdr:col>
      <xdr:colOff>624840</xdr:colOff>
      <xdr:row>16</xdr:row>
      <xdr:rowOff>129540</xdr:rowOff>
    </xdr:to>
    <xdr:pic>
      <xdr:nvPicPr>
        <xdr:cNvPr id="10005621" name="Picture 1024" descr="Creative Commons License"/>
        <xdr:cNvPicPr>
          <a:picLocks noChangeAspect="1" noChangeArrowheads="1"/>
        </xdr:cNvPicPr>
      </xdr:nvPicPr>
      <xdr:blipFill>
        <a:blip xmlns:r="http://schemas.openxmlformats.org/officeDocument/2006/relationships" r:embed="rId1" cstate="print"/>
        <a:srcRect/>
        <a:stretch>
          <a:fillRect/>
        </a:stretch>
      </xdr:blipFill>
      <xdr:spPr bwMode="auto">
        <a:xfrm>
          <a:off x="5113020" y="411480"/>
          <a:ext cx="1379220" cy="480060"/>
        </a:xfrm>
        <a:prstGeom prst="rect">
          <a:avLst/>
        </a:prstGeom>
        <a:noFill/>
        <a:ln w="9525">
          <a:noFill/>
          <a:miter lim="800000"/>
          <a:headEnd/>
          <a:tailEnd/>
        </a:ln>
      </xdr:spPr>
    </xdr:pic>
    <xdr:clientData/>
  </xdr:twoCellAnchor>
  <xdr:twoCellAnchor>
    <xdr:from>
      <xdr:col>7</xdr:col>
      <xdr:colOff>327660</xdr:colOff>
      <xdr:row>110</xdr:row>
      <xdr:rowOff>1905</xdr:rowOff>
    </xdr:from>
    <xdr:to>
      <xdr:col>7</xdr:col>
      <xdr:colOff>331470</xdr:colOff>
      <xdr:row>112</xdr:row>
      <xdr:rowOff>15346</xdr:rowOff>
    </xdr:to>
    <xdr:cxnSp macro="">
      <xdr:nvCxnSpPr>
        <xdr:cNvPr id="9" name="Straight Connector 8"/>
        <xdr:cNvCxnSpPr/>
      </xdr:nvCxnSpPr>
      <xdr:spPr>
        <a:xfrm>
          <a:off x="4120515" y="15074265"/>
          <a:ext cx="7620" cy="363961"/>
        </a:xfrm>
        <a:prstGeom prst="line">
          <a:avLst/>
        </a:prstGeom>
        <a:ln w="3175">
          <a:no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327660</xdr:colOff>
      <xdr:row>111</xdr:row>
      <xdr:rowOff>1905</xdr:rowOff>
    </xdr:from>
    <xdr:to>
      <xdr:col>7</xdr:col>
      <xdr:colOff>331470</xdr:colOff>
      <xdr:row>113</xdr:row>
      <xdr:rowOff>15346</xdr:rowOff>
    </xdr:to>
    <xdr:cxnSp macro="">
      <xdr:nvCxnSpPr>
        <xdr:cNvPr id="11" name="Straight Connector 10"/>
        <xdr:cNvCxnSpPr/>
      </xdr:nvCxnSpPr>
      <xdr:spPr>
        <a:xfrm>
          <a:off x="4120515" y="15249525"/>
          <a:ext cx="7620" cy="363961"/>
        </a:xfrm>
        <a:prstGeom prst="line">
          <a:avLst/>
        </a:prstGeom>
        <a:ln w="3175">
          <a:no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327660</xdr:colOff>
      <xdr:row>112</xdr:row>
      <xdr:rowOff>1905</xdr:rowOff>
    </xdr:from>
    <xdr:to>
      <xdr:col>7</xdr:col>
      <xdr:colOff>331470</xdr:colOff>
      <xdr:row>114</xdr:row>
      <xdr:rowOff>15346</xdr:rowOff>
    </xdr:to>
    <xdr:cxnSp macro="">
      <xdr:nvCxnSpPr>
        <xdr:cNvPr id="12" name="Straight Connector 11"/>
        <xdr:cNvCxnSpPr/>
      </xdr:nvCxnSpPr>
      <xdr:spPr>
        <a:xfrm>
          <a:off x="4120515" y="15424785"/>
          <a:ext cx="7620" cy="363961"/>
        </a:xfrm>
        <a:prstGeom prst="line">
          <a:avLst/>
        </a:prstGeom>
        <a:ln w="3175">
          <a:no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60960</xdr:colOff>
      <xdr:row>4</xdr:row>
      <xdr:rowOff>83820</xdr:rowOff>
    </xdr:from>
    <xdr:to>
      <xdr:col>16</xdr:col>
      <xdr:colOff>533400</xdr:colOff>
      <xdr:row>12</xdr:row>
      <xdr:rowOff>160020</xdr:rowOff>
    </xdr:to>
    <xdr:graphicFrame macro="">
      <xdr:nvGraphicFramePr>
        <xdr:cNvPr id="1000562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13</xdr:col>
      <xdr:colOff>495300</xdr:colOff>
      <xdr:row>19</xdr:row>
      <xdr:rowOff>99060</xdr:rowOff>
    </xdr:from>
    <xdr:to>
      <xdr:col>16</xdr:col>
      <xdr:colOff>335280</xdr:colOff>
      <xdr:row>22</xdr:row>
      <xdr:rowOff>121920</xdr:rowOff>
    </xdr:to>
    <xdr:sp macro="" textlink="">
      <xdr:nvSpPr>
        <xdr:cNvPr id="10005626" name="Text Box 8"/>
        <xdr:cNvSpPr txBox="1">
          <a:spLocks noChangeArrowheads="1"/>
        </xdr:cNvSpPr>
      </xdr:nvSpPr>
      <xdr:spPr bwMode="auto">
        <a:xfrm>
          <a:off x="8953500" y="3718560"/>
          <a:ext cx="1783080" cy="594360"/>
        </a:xfrm>
        <a:prstGeom prst="rect">
          <a:avLst/>
        </a:prstGeom>
        <a:noFill/>
        <a:ln w="9525">
          <a:noFill/>
          <a:miter lim="800000"/>
          <a:headEnd/>
          <a:tailEnd/>
        </a:ln>
      </xdr:spPr>
    </xdr:sp>
    <xdr:clientData/>
  </xdr:twoCellAnchor>
  <xdr:twoCellAnchor editAs="oneCell">
    <xdr:from>
      <xdr:col>19</xdr:col>
      <xdr:colOff>312420</xdr:colOff>
      <xdr:row>33</xdr:row>
      <xdr:rowOff>0</xdr:rowOff>
    </xdr:from>
    <xdr:to>
      <xdr:col>20</xdr:col>
      <xdr:colOff>426720</xdr:colOff>
      <xdr:row>53</xdr:row>
      <xdr:rowOff>30480</xdr:rowOff>
    </xdr:to>
    <xdr:sp macro="" textlink="">
      <xdr:nvSpPr>
        <xdr:cNvPr id="10005627" name="Text Box 2"/>
        <xdr:cNvSpPr txBox="1">
          <a:spLocks noChangeArrowheads="1"/>
        </xdr:cNvSpPr>
      </xdr:nvSpPr>
      <xdr:spPr bwMode="auto">
        <a:xfrm>
          <a:off x="12588240" y="4191000"/>
          <a:ext cx="739140" cy="3840480"/>
        </a:xfrm>
        <a:prstGeom prst="rect">
          <a:avLst/>
        </a:prstGeom>
        <a:noFill/>
        <a:ln w="9525">
          <a:noFill/>
          <a:miter lim="800000"/>
          <a:headEnd/>
          <a:tailEnd/>
        </a:ln>
      </xdr:spPr>
    </xdr:sp>
    <xdr:clientData/>
  </xdr:twoCellAnchor>
  <xdr:twoCellAnchor editAs="oneCell">
    <xdr:from>
      <xdr:col>18</xdr:col>
      <xdr:colOff>0</xdr:colOff>
      <xdr:row>33</xdr:row>
      <xdr:rowOff>0</xdr:rowOff>
    </xdr:from>
    <xdr:to>
      <xdr:col>20</xdr:col>
      <xdr:colOff>335280</xdr:colOff>
      <xdr:row>36</xdr:row>
      <xdr:rowOff>76200</xdr:rowOff>
    </xdr:to>
    <xdr:sp macro="" textlink="">
      <xdr:nvSpPr>
        <xdr:cNvPr id="10005628" name="Text Box 3"/>
        <xdr:cNvSpPr txBox="1">
          <a:spLocks noChangeArrowheads="1"/>
        </xdr:cNvSpPr>
      </xdr:nvSpPr>
      <xdr:spPr bwMode="auto">
        <a:xfrm>
          <a:off x="11650980" y="4191000"/>
          <a:ext cx="1584960" cy="647700"/>
        </a:xfrm>
        <a:prstGeom prst="rect">
          <a:avLst/>
        </a:prstGeom>
        <a:noFill/>
        <a:ln w="9525">
          <a:noFill/>
          <a:miter lim="800000"/>
          <a:headEnd/>
          <a:tailEnd/>
        </a:ln>
      </xdr:spPr>
    </xdr:sp>
    <xdr:clientData/>
  </xdr:twoCellAnchor>
  <xdr:twoCellAnchor editAs="oneCell">
    <xdr:from>
      <xdr:col>12</xdr:col>
      <xdr:colOff>480060</xdr:colOff>
      <xdr:row>14</xdr:row>
      <xdr:rowOff>129540</xdr:rowOff>
    </xdr:from>
    <xdr:to>
      <xdr:col>16</xdr:col>
      <xdr:colOff>495300</xdr:colOff>
      <xdr:row>17</xdr:row>
      <xdr:rowOff>160020</xdr:rowOff>
    </xdr:to>
    <xdr:sp macro="" textlink="">
      <xdr:nvSpPr>
        <xdr:cNvPr id="10005629" name="Text Box 8"/>
        <xdr:cNvSpPr txBox="1">
          <a:spLocks noChangeArrowheads="1"/>
        </xdr:cNvSpPr>
      </xdr:nvSpPr>
      <xdr:spPr bwMode="auto">
        <a:xfrm>
          <a:off x="8290560" y="2796540"/>
          <a:ext cx="2606040" cy="601980"/>
        </a:xfrm>
        <a:prstGeom prst="rect">
          <a:avLst/>
        </a:prstGeom>
        <a:noFill/>
        <a:ln w="9525">
          <a:noFill/>
          <a:miter lim="800000"/>
          <a:headEnd/>
          <a:tailEnd/>
        </a:ln>
      </xdr:spPr>
    </xdr:sp>
    <xdr:clientData/>
  </xdr:twoCellAnchor>
  <xdr:twoCellAnchor editAs="oneCell">
    <xdr:from>
      <xdr:col>18</xdr:col>
      <xdr:colOff>0</xdr:colOff>
      <xdr:row>32</xdr:row>
      <xdr:rowOff>167640</xdr:rowOff>
    </xdr:from>
    <xdr:to>
      <xdr:col>22</xdr:col>
      <xdr:colOff>365760</xdr:colOff>
      <xdr:row>36</xdr:row>
      <xdr:rowOff>45720</xdr:rowOff>
    </xdr:to>
    <xdr:sp macro="" textlink="">
      <xdr:nvSpPr>
        <xdr:cNvPr id="10005630" name="Text Box 9"/>
        <xdr:cNvSpPr txBox="1">
          <a:spLocks noChangeArrowheads="1"/>
        </xdr:cNvSpPr>
      </xdr:nvSpPr>
      <xdr:spPr bwMode="auto">
        <a:xfrm>
          <a:off x="11650980" y="4168140"/>
          <a:ext cx="2865120" cy="640080"/>
        </a:xfrm>
        <a:prstGeom prst="rect">
          <a:avLst/>
        </a:prstGeom>
        <a:noFill/>
        <a:ln w="9525">
          <a:noFill/>
          <a:miter lim="800000"/>
          <a:headEnd/>
          <a:tailEnd/>
        </a:ln>
      </xdr:spPr>
    </xdr:sp>
    <xdr:clientData/>
  </xdr:twoCellAnchor>
  <xdr:twoCellAnchor>
    <xdr:from>
      <xdr:col>11</xdr:col>
      <xdr:colOff>60960</xdr:colOff>
      <xdr:row>15</xdr:row>
      <xdr:rowOff>60960</xdr:rowOff>
    </xdr:from>
    <xdr:to>
      <xdr:col>16</xdr:col>
      <xdr:colOff>548640</xdr:colOff>
      <xdr:row>23</xdr:row>
      <xdr:rowOff>144780</xdr:rowOff>
    </xdr:to>
    <xdr:graphicFrame macro="">
      <xdr:nvGraphicFramePr>
        <xdr:cNvPr id="1000563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13</xdr:col>
      <xdr:colOff>495300</xdr:colOff>
      <xdr:row>11</xdr:row>
      <xdr:rowOff>99060</xdr:rowOff>
    </xdr:from>
    <xdr:to>
      <xdr:col>16</xdr:col>
      <xdr:colOff>335280</xdr:colOff>
      <xdr:row>14</xdr:row>
      <xdr:rowOff>121920</xdr:rowOff>
    </xdr:to>
    <xdr:sp macro="" textlink="">
      <xdr:nvSpPr>
        <xdr:cNvPr id="10005632" name="Text Box 8"/>
        <xdr:cNvSpPr txBox="1">
          <a:spLocks noChangeArrowheads="1"/>
        </xdr:cNvSpPr>
      </xdr:nvSpPr>
      <xdr:spPr bwMode="auto">
        <a:xfrm>
          <a:off x="8953500" y="7719060"/>
          <a:ext cx="1783080" cy="594360"/>
        </a:xfrm>
        <a:prstGeom prst="rect">
          <a:avLst/>
        </a:prstGeom>
        <a:noFill/>
        <a:ln w="9525">
          <a:noFill/>
          <a:miter lim="800000"/>
          <a:headEnd/>
          <a:tailEnd/>
        </a:ln>
      </xdr:spPr>
    </xdr:sp>
    <xdr:clientData/>
  </xdr:twoCellAnchor>
  <xdr:twoCellAnchor>
    <xdr:from>
      <xdr:col>7</xdr:col>
      <xdr:colOff>110490</xdr:colOff>
      <xdr:row>74</xdr:row>
      <xdr:rowOff>121920</xdr:rowOff>
    </xdr:from>
    <xdr:to>
      <xdr:col>8</xdr:col>
      <xdr:colOff>608866</xdr:colOff>
      <xdr:row>74</xdr:row>
      <xdr:rowOff>125730</xdr:rowOff>
    </xdr:to>
    <xdr:cxnSp macro="">
      <xdr:nvCxnSpPr>
        <xdr:cNvPr id="24" name="Straight Arrow Connector 23"/>
        <xdr:cNvCxnSpPr/>
      </xdr:nvCxnSpPr>
      <xdr:spPr>
        <a:xfrm>
          <a:off x="4671060" y="10607040"/>
          <a:ext cx="1173480" cy="762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45720</xdr:colOff>
      <xdr:row>9</xdr:row>
      <xdr:rowOff>83820</xdr:rowOff>
    </xdr:from>
    <xdr:to>
      <xdr:col>11</xdr:col>
      <xdr:colOff>403860</xdr:colOff>
      <xdr:row>33</xdr:row>
      <xdr:rowOff>99060</xdr:rowOff>
    </xdr:to>
    <xdr:graphicFrame macro="">
      <xdr:nvGraphicFramePr>
        <xdr:cNvPr id="785094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20</xdr:col>
      <xdr:colOff>312420</xdr:colOff>
      <xdr:row>59</xdr:row>
      <xdr:rowOff>0</xdr:rowOff>
    </xdr:from>
    <xdr:to>
      <xdr:col>21</xdr:col>
      <xdr:colOff>533400</xdr:colOff>
      <xdr:row>80</xdr:row>
      <xdr:rowOff>83820</xdr:rowOff>
    </xdr:to>
    <xdr:sp macro="" textlink="">
      <xdr:nvSpPr>
        <xdr:cNvPr id="7850945" name="Text Box 2"/>
        <xdr:cNvSpPr txBox="1">
          <a:spLocks noChangeArrowheads="1"/>
        </xdr:cNvSpPr>
      </xdr:nvSpPr>
      <xdr:spPr bwMode="auto">
        <a:xfrm>
          <a:off x="12344400" y="10340340"/>
          <a:ext cx="845820" cy="3764280"/>
        </a:xfrm>
        <a:prstGeom prst="rect">
          <a:avLst/>
        </a:prstGeom>
        <a:noFill/>
        <a:ln w="9525">
          <a:noFill/>
          <a:miter lim="800000"/>
          <a:headEnd/>
          <a:tailEnd/>
        </a:ln>
      </xdr:spPr>
    </xdr:sp>
    <xdr:clientData/>
  </xdr:twoCellAnchor>
  <xdr:twoCellAnchor editAs="oneCell">
    <xdr:from>
      <xdr:col>10</xdr:col>
      <xdr:colOff>68580</xdr:colOff>
      <xdr:row>69</xdr:row>
      <xdr:rowOff>106680</xdr:rowOff>
    </xdr:from>
    <xdr:to>
      <xdr:col>13</xdr:col>
      <xdr:colOff>83820</xdr:colOff>
      <xdr:row>73</xdr:row>
      <xdr:rowOff>99060</xdr:rowOff>
    </xdr:to>
    <xdr:sp macro="" textlink="">
      <xdr:nvSpPr>
        <xdr:cNvPr id="7850946" name="Text Box 3"/>
        <xdr:cNvSpPr txBox="1">
          <a:spLocks noChangeArrowheads="1"/>
        </xdr:cNvSpPr>
      </xdr:nvSpPr>
      <xdr:spPr bwMode="auto">
        <a:xfrm>
          <a:off x="5852160" y="12199620"/>
          <a:ext cx="1889760" cy="693420"/>
        </a:xfrm>
        <a:prstGeom prst="rect">
          <a:avLst/>
        </a:prstGeom>
        <a:noFill/>
        <a:ln w="9525">
          <a:noFill/>
          <a:miter lim="800000"/>
          <a:headEnd/>
          <a:tailEnd/>
        </a:ln>
      </xdr:spPr>
    </xdr:sp>
    <xdr:clientData/>
  </xdr:twoCellAnchor>
  <xdr:twoCellAnchor editAs="oneCell">
    <xdr:from>
      <xdr:col>2</xdr:col>
      <xdr:colOff>495300</xdr:colOff>
      <xdr:row>24</xdr:row>
      <xdr:rowOff>30480</xdr:rowOff>
    </xdr:from>
    <xdr:to>
      <xdr:col>6</xdr:col>
      <xdr:colOff>220980</xdr:colOff>
      <xdr:row>28</xdr:row>
      <xdr:rowOff>144780</xdr:rowOff>
    </xdr:to>
    <xdr:sp macro="" textlink="">
      <xdr:nvSpPr>
        <xdr:cNvPr id="7850947" name="Text Box 8"/>
        <xdr:cNvSpPr txBox="1">
          <a:spLocks noChangeArrowheads="1"/>
        </xdr:cNvSpPr>
      </xdr:nvSpPr>
      <xdr:spPr bwMode="auto">
        <a:xfrm>
          <a:off x="1280160" y="4236720"/>
          <a:ext cx="2225040" cy="815340"/>
        </a:xfrm>
        <a:prstGeom prst="rect">
          <a:avLst/>
        </a:prstGeom>
        <a:noFill/>
        <a:ln w="9525">
          <a:noFill/>
          <a:miter lim="800000"/>
          <a:headEnd/>
          <a:tailEnd/>
        </a:ln>
      </xdr:spPr>
    </xdr:sp>
    <xdr:clientData/>
  </xdr:twoCellAnchor>
  <xdr:twoCellAnchor editAs="oneCell">
    <xdr:from>
      <xdr:col>4</xdr:col>
      <xdr:colOff>259080</xdr:colOff>
      <xdr:row>17</xdr:row>
      <xdr:rowOff>38100</xdr:rowOff>
    </xdr:from>
    <xdr:to>
      <xdr:col>10</xdr:col>
      <xdr:colOff>160020</xdr:colOff>
      <xdr:row>21</xdr:row>
      <xdr:rowOff>30480</xdr:rowOff>
    </xdr:to>
    <xdr:sp macro="" textlink="">
      <xdr:nvSpPr>
        <xdr:cNvPr id="7850948" name="Text Box 9"/>
        <xdr:cNvSpPr txBox="1">
          <a:spLocks noChangeArrowheads="1"/>
        </xdr:cNvSpPr>
      </xdr:nvSpPr>
      <xdr:spPr bwMode="auto">
        <a:xfrm>
          <a:off x="2293620" y="3017520"/>
          <a:ext cx="3649980" cy="693420"/>
        </a:xfrm>
        <a:prstGeom prst="rect">
          <a:avLst/>
        </a:prstGeom>
        <a:noFill/>
        <a:ln w="9525">
          <a:noFill/>
          <a:miter lim="800000"/>
          <a:headEnd/>
          <a:tailEnd/>
        </a:ln>
      </xdr:spPr>
    </xdr:sp>
    <xdr:clientData/>
  </xdr:twoCellAnchor>
  <xdr:twoCellAnchor>
    <xdr:from>
      <xdr:col>12</xdr:col>
      <xdr:colOff>38100</xdr:colOff>
      <xdr:row>9</xdr:row>
      <xdr:rowOff>76200</xdr:rowOff>
    </xdr:from>
    <xdr:to>
      <xdr:col>21</xdr:col>
      <xdr:colOff>563880</xdr:colOff>
      <xdr:row>33</xdr:row>
      <xdr:rowOff>68580</xdr:rowOff>
    </xdr:to>
    <xdr:graphicFrame macro="">
      <xdr:nvGraphicFramePr>
        <xdr:cNvPr id="7850949"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19</xdr:col>
      <xdr:colOff>118110</xdr:colOff>
      <xdr:row>8</xdr:row>
      <xdr:rowOff>0</xdr:rowOff>
    </xdr:from>
    <xdr:ext cx="184731" cy="264560"/>
    <xdr:sp macro="" textlink="">
      <xdr:nvSpPr>
        <xdr:cNvPr id="8" name="TextBox 7"/>
        <xdr:cNvSpPr txBox="1"/>
      </xdr:nvSpPr>
      <xdr:spPr>
        <a:xfrm>
          <a:off x="11525250" y="1402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twoCellAnchor editAs="oneCell">
    <xdr:from>
      <xdr:col>2</xdr:col>
      <xdr:colOff>495300</xdr:colOff>
      <xdr:row>2</xdr:row>
      <xdr:rowOff>0</xdr:rowOff>
    </xdr:from>
    <xdr:to>
      <xdr:col>6</xdr:col>
      <xdr:colOff>510540</xdr:colOff>
      <xdr:row>5</xdr:row>
      <xdr:rowOff>30480</xdr:rowOff>
    </xdr:to>
    <xdr:sp macro="" textlink="">
      <xdr:nvSpPr>
        <xdr:cNvPr id="7850951" name="Text Box 8"/>
        <xdr:cNvSpPr txBox="1">
          <a:spLocks noChangeArrowheads="1"/>
        </xdr:cNvSpPr>
      </xdr:nvSpPr>
      <xdr:spPr bwMode="auto">
        <a:xfrm>
          <a:off x="1280160" y="350520"/>
          <a:ext cx="2514600" cy="556260"/>
        </a:xfrm>
        <a:prstGeom prst="rect">
          <a:avLst/>
        </a:prstGeom>
        <a:noFill/>
        <a:ln w="9525">
          <a:noFill/>
          <a:miter lim="800000"/>
          <a:headEnd/>
          <a:tailEnd/>
        </a:ln>
      </xdr:spPr>
    </xdr:sp>
    <xdr:clientData/>
  </xdr:twoCellAnchor>
</xdr:wsDr>
</file>

<file path=xl/drawings/drawing11.xml><?xml version="1.0" encoding="utf-8"?>
<c:userShapes xmlns:c="http://schemas.openxmlformats.org/drawingml/2006/chart">
  <cdr:relSizeAnchor xmlns:cdr="http://schemas.openxmlformats.org/drawingml/2006/chartDrawing">
    <cdr:from>
      <cdr:x>0.02789</cdr:x>
      <cdr:y>0.46338</cdr:y>
    </cdr:from>
    <cdr:to>
      <cdr:x>0.04072</cdr:x>
      <cdr:y>0.51436</cdr:y>
    </cdr:to>
    <cdr:sp macro="" textlink="">
      <cdr:nvSpPr>
        <cdr:cNvPr id="4099" name="Text Box 3"/>
        <cdr:cNvSpPr txBox="1">
          <a:spLocks xmlns:a="http://schemas.openxmlformats.org/drawingml/2006/main" noChangeArrowheads="1"/>
        </cdr:cNvSpPr>
      </cdr:nvSpPr>
      <cdr:spPr bwMode="auto">
        <a:xfrm xmlns:a="http://schemas.openxmlformats.org/drawingml/2006/main">
          <a:off x="203419" y="2216366"/>
          <a:ext cx="94479" cy="26710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0.03719</cdr:x>
      <cdr:y>0.471</cdr:y>
    </cdr:from>
    <cdr:to>
      <cdr:x>0.57471</cdr:x>
      <cdr:y>0.58221</cdr:y>
    </cdr:to>
    <cdr:sp macro="" textlink="">
      <cdr:nvSpPr>
        <cdr:cNvPr id="4100" name="Text Box 4"/>
        <cdr:cNvSpPr txBox="1">
          <a:spLocks xmlns:a="http://schemas.openxmlformats.org/drawingml/2006/main" noChangeArrowheads="1"/>
        </cdr:cNvSpPr>
      </cdr:nvSpPr>
      <cdr:spPr bwMode="auto">
        <a:xfrm xmlns:a="http://schemas.openxmlformats.org/drawingml/2006/main">
          <a:off x="270644" y="2258288"/>
          <a:ext cx="3819111" cy="56175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en-US"/>
        </a:p>
      </cdr:txBody>
    </cdr:sp>
  </cdr:relSizeAnchor>
</c:userShapes>
</file>

<file path=xl/drawings/drawing12.xml><?xml version="1.0" encoding="utf-8"?>
<c:userShapes xmlns:c="http://schemas.openxmlformats.org/drawingml/2006/chart">
  <cdr:relSizeAnchor xmlns:cdr="http://schemas.openxmlformats.org/drawingml/2006/chartDrawing">
    <cdr:from>
      <cdr:x>0.15742</cdr:x>
      <cdr:y>0.04406</cdr:y>
    </cdr:from>
    <cdr:to>
      <cdr:x>0.33286</cdr:x>
      <cdr:y>0.30987</cdr:y>
    </cdr:to>
    <cdr:sp macro="" textlink="">
      <cdr:nvSpPr>
        <cdr:cNvPr id="2" name="TextBox 1"/>
        <cdr:cNvSpPr txBox="1"/>
      </cdr:nvSpPr>
      <cdr:spPr>
        <a:xfrm xmlns:a="http://schemas.openxmlformats.org/drawingml/2006/main">
          <a:off x="863600" y="194734"/>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a:p>
      </cdr:txBody>
    </cdr:sp>
  </cdr:relSizeAnchor>
  <cdr:relSizeAnchor xmlns:cdr="http://schemas.openxmlformats.org/drawingml/2006/chartDrawing">
    <cdr:from>
      <cdr:x>0.6504</cdr:x>
      <cdr:y>0.92741</cdr:y>
    </cdr:from>
    <cdr:to>
      <cdr:x>0.98804</cdr:x>
      <cdr:y>0.9988</cdr:y>
    </cdr:to>
    <cdr:sp macro="" textlink="">
      <cdr:nvSpPr>
        <cdr:cNvPr id="3" name="TextBox 2"/>
        <cdr:cNvSpPr txBox="1"/>
      </cdr:nvSpPr>
      <cdr:spPr>
        <a:xfrm xmlns:a="http://schemas.openxmlformats.org/drawingml/2006/main">
          <a:off x="3878580" y="3213759"/>
          <a:ext cx="2065020" cy="24918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800" b="1"/>
            <a:t>Carbon Tax Center, April 2013.</a:t>
          </a:r>
        </a:p>
      </cdr:txBody>
    </cdr:sp>
  </cdr:relSizeAnchor>
  <cdr:relSizeAnchor xmlns:cdr="http://schemas.openxmlformats.org/drawingml/2006/chartDrawing">
    <cdr:from>
      <cdr:x>0.47561</cdr:x>
      <cdr:y>0.25207</cdr:y>
    </cdr:from>
    <cdr:to>
      <cdr:x>0.63526</cdr:x>
      <cdr:y>0.49619</cdr:y>
    </cdr:to>
    <cdr:sp macro="" textlink="">
      <cdr:nvSpPr>
        <cdr:cNvPr id="4" name="TextBox 3"/>
        <cdr:cNvSpPr txBox="1"/>
      </cdr:nvSpPr>
      <cdr:spPr>
        <a:xfrm xmlns:a="http://schemas.openxmlformats.org/drawingml/2006/main">
          <a:off x="2638425" y="828675"/>
          <a:ext cx="914400" cy="8667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a:p>
      </cdr:txBody>
    </cdr:sp>
  </cdr:relSizeAnchor>
  <cdr:relSizeAnchor xmlns:cdr="http://schemas.openxmlformats.org/drawingml/2006/chartDrawing">
    <cdr:from>
      <cdr:x>0.42622</cdr:x>
      <cdr:y>0.25159</cdr:y>
    </cdr:from>
    <cdr:to>
      <cdr:x>0.83737</cdr:x>
      <cdr:y>0.37037</cdr:y>
    </cdr:to>
    <cdr:sp macro="" textlink="">
      <cdr:nvSpPr>
        <cdr:cNvPr id="5" name="TextBox 4"/>
        <cdr:cNvSpPr txBox="1"/>
      </cdr:nvSpPr>
      <cdr:spPr>
        <a:xfrm xmlns:a="http://schemas.openxmlformats.org/drawingml/2006/main">
          <a:off x="2598420" y="1059181"/>
          <a:ext cx="2484120" cy="5029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b="1"/>
            <a:t>For comparison, Keystone XL would</a:t>
          </a:r>
        </a:p>
        <a:p xmlns:a="http://schemas.openxmlformats.org/drawingml/2006/main">
          <a:r>
            <a:rPr lang="en-US" sz="1100" b="1"/>
            <a:t>deliver </a:t>
          </a:r>
          <a:r>
            <a:rPr lang="en-US" sz="1100" b="1" baseline="0"/>
            <a:t>approx. 830(000) bpd to U.S.</a:t>
          </a:r>
          <a:endParaRPr lang="en-US" sz="1100" b="1"/>
        </a:p>
      </cdr:txBody>
    </cdr:sp>
  </cdr:relSizeAnchor>
  <cdr:relSizeAnchor xmlns:cdr="http://schemas.openxmlformats.org/drawingml/2006/chartDrawing">
    <cdr:from>
      <cdr:x>0</cdr:x>
      <cdr:y>0.97975</cdr:y>
    </cdr:from>
    <cdr:to>
      <cdr:x>0</cdr:x>
      <cdr:y>0.97975</cdr:y>
    </cdr:to>
    <cdr:sp macro="" textlink="">
      <cdr:nvSpPr>
        <cdr:cNvPr id="6" name="TextBox 5"/>
        <cdr:cNvSpPr txBox="1"/>
      </cdr:nvSpPr>
      <cdr:spPr>
        <a:xfrm xmlns:a="http://schemas.openxmlformats.org/drawingml/2006/main">
          <a:off x="19050" y="2657475"/>
          <a:ext cx="1028700" cy="7429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a:p>
      </cdr:txBody>
    </cdr:sp>
  </cdr:relSizeAnchor>
  <cdr:relSizeAnchor xmlns:cdr="http://schemas.openxmlformats.org/drawingml/2006/chartDrawing">
    <cdr:from>
      <cdr:x>0.00025</cdr:x>
      <cdr:y>0.96128</cdr:y>
    </cdr:from>
    <cdr:to>
      <cdr:x>0.00025</cdr:x>
      <cdr:y>0.96128</cdr:y>
    </cdr:to>
    <cdr:sp macro="" textlink="">
      <cdr:nvSpPr>
        <cdr:cNvPr id="7" name="TextBox 6"/>
        <cdr:cNvSpPr txBox="1"/>
      </cdr:nvSpPr>
      <cdr:spPr>
        <a:xfrm xmlns:a="http://schemas.openxmlformats.org/drawingml/2006/main">
          <a:off x="1" y="2705099"/>
          <a:ext cx="628650" cy="6953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a:p>
      </cdr:txBody>
    </cdr:sp>
  </cdr:relSizeAnchor>
  <cdr:relSizeAnchor xmlns:cdr="http://schemas.openxmlformats.org/drawingml/2006/chartDrawing">
    <cdr:from>
      <cdr:x>0.00149</cdr:x>
      <cdr:y>0.73363</cdr:y>
    </cdr:from>
    <cdr:to>
      <cdr:x>0.0928</cdr:x>
      <cdr:y>0.8713</cdr:y>
    </cdr:to>
    <cdr:sp macro="" textlink="">
      <cdr:nvSpPr>
        <cdr:cNvPr id="8" name="TextBox 7"/>
        <cdr:cNvSpPr txBox="1"/>
      </cdr:nvSpPr>
      <cdr:spPr>
        <a:xfrm xmlns:a="http://schemas.openxmlformats.org/drawingml/2006/main">
          <a:off x="7620" y="2539783"/>
          <a:ext cx="472440" cy="4446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900" b="1"/>
            <a:t>000 bbl</a:t>
          </a:r>
        </a:p>
        <a:p xmlns:a="http://schemas.openxmlformats.org/drawingml/2006/main">
          <a:r>
            <a:rPr lang="en-US" sz="900" b="1"/>
            <a:t>per day</a:t>
          </a:r>
          <a:endParaRPr lang="en-US" sz="1000" b="1"/>
        </a:p>
      </cdr:txBody>
    </cdr:sp>
  </cdr:relSizeAnchor>
</c:userShapes>
</file>

<file path=xl/drawings/drawing13.xml><?xml version="1.0" encoding="utf-8"?>
<xdr:wsDr xmlns:xdr="http://schemas.openxmlformats.org/drawingml/2006/spreadsheetDrawing" xmlns:a="http://schemas.openxmlformats.org/drawingml/2006/main">
  <xdr:twoCellAnchor editAs="oneCell">
    <xdr:from>
      <xdr:col>9</xdr:col>
      <xdr:colOff>312420</xdr:colOff>
      <xdr:row>17</xdr:row>
      <xdr:rowOff>0</xdr:rowOff>
    </xdr:from>
    <xdr:to>
      <xdr:col>10</xdr:col>
      <xdr:colOff>426720</xdr:colOff>
      <xdr:row>37</xdr:row>
      <xdr:rowOff>30480</xdr:rowOff>
    </xdr:to>
    <xdr:sp macro="" textlink="">
      <xdr:nvSpPr>
        <xdr:cNvPr id="9230992" name="Text Box 2"/>
        <xdr:cNvSpPr txBox="1">
          <a:spLocks noChangeArrowheads="1"/>
        </xdr:cNvSpPr>
      </xdr:nvSpPr>
      <xdr:spPr bwMode="auto">
        <a:xfrm>
          <a:off x="5471160" y="2979420"/>
          <a:ext cx="739140" cy="3535680"/>
        </a:xfrm>
        <a:prstGeom prst="rect">
          <a:avLst/>
        </a:prstGeom>
        <a:noFill/>
        <a:ln w="9525">
          <a:noFill/>
          <a:miter lim="800000"/>
          <a:headEnd/>
          <a:tailEnd/>
        </a:ln>
      </xdr:spPr>
    </xdr:sp>
    <xdr:clientData/>
  </xdr:twoCellAnchor>
  <xdr:twoCellAnchor editAs="oneCell">
    <xdr:from>
      <xdr:col>8</xdr:col>
      <xdr:colOff>0</xdr:colOff>
      <xdr:row>17</xdr:row>
      <xdr:rowOff>0</xdr:rowOff>
    </xdr:from>
    <xdr:to>
      <xdr:col>10</xdr:col>
      <xdr:colOff>335280</xdr:colOff>
      <xdr:row>20</xdr:row>
      <xdr:rowOff>76200</xdr:rowOff>
    </xdr:to>
    <xdr:sp macro="" textlink="">
      <xdr:nvSpPr>
        <xdr:cNvPr id="9230993" name="Text Box 3"/>
        <xdr:cNvSpPr txBox="1">
          <a:spLocks noChangeArrowheads="1"/>
        </xdr:cNvSpPr>
      </xdr:nvSpPr>
      <xdr:spPr bwMode="auto">
        <a:xfrm>
          <a:off x="4533900" y="2979420"/>
          <a:ext cx="1584960" cy="601980"/>
        </a:xfrm>
        <a:prstGeom prst="rect">
          <a:avLst/>
        </a:prstGeom>
        <a:noFill/>
        <a:ln w="9525">
          <a:noFill/>
          <a:miter lim="800000"/>
          <a:headEnd/>
          <a:tailEnd/>
        </a:ln>
      </xdr:spPr>
    </xdr:sp>
    <xdr:clientData/>
  </xdr:twoCellAnchor>
  <xdr:twoCellAnchor editAs="oneCell">
    <xdr:from>
      <xdr:col>2</xdr:col>
      <xdr:colOff>495300</xdr:colOff>
      <xdr:row>17</xdr:row>
      <xdr:rowOff>0</xdr:rowOff>
    </xdr:from>
    <xdr:to>
      <xdr:col>6</xdr:col>
      <xdr:colOff>510540</xdr:colOff>
      <xdr:row>20</xdr:row>
      <xdr:rowOff>30480</xdr:rowOff>
    </xdr:to>
    <xdr:sp macro="" textlink="">
      <xdr:nvSpPr>
        <xdr:cNvPr id="9230994" name="Text Box 8"/>
        <xdr:cNvSpPr txBox="1">
          <a:spLocks noChangeArrowheads="1"/>
        </xdr:cNvSpPr>
      </xdr:nvSpPr>
      <xdr:spPr bwMode="auto">
        <a:xfrm>
          <a:off x="1280160" y="2979420"/>
          <a:ext cx="2514600" cy="556260"/>
        </a:xfrm>
        <a:prstGeom prst="rect">
          <a:avLst/>
        </a:prstGeom>
        <a:noFill/>
        <a:ln w="9525">
          <a:noFill/>
          <a:miter lim="800000"/>
          <a:headEnd/>
          <a:tailEnd/>
        </a:ln>
      </xdr:spPr>
    </xdr:sp>
    <xdr:clientData/>
  </xdr:twoCellAnchor>
  <xdr:twoCellAnchor editAs="oneCell">
    <xdr:from>
      <xdr:col>10</xdr:col>
      <xdr:colOff>228600</xdr:colOff>
      <xdr:row>17</xdr:row>
      <xdr:rowOff>106680</xdr:rowOff>
    </xdr:from>
    <xdr:to>
      <xdr:col>14</xdr:col>
      <xdr:colOff>586740</xdr:colOff>
      <xdr:row>20</xdr:row>
      <xdr:rowOff>160020</xdr:rowOff>
    </xdr:to>
    <xdr:sp macro="" textlink="">
      <xdr:nvSpPr>
        <xdr:cNvPr id="9230995" name="Text Box 9"/>
        <xdr:cNvSpPr txBox="1">
          <a:spLocks noChangeArrowheads="1"/>
        </xdr:cNvSpPr>
      </xdr:nvSpPr>
      <xdr:spPr bwMode="auto">
        <a:xfrm>
          <a:off x="6012180" y="3086100"/>
          <a:ext cx="2857500" cy="579120"/>
        </a:xfrm>
        <a:prstGeom prst="rect">
          <a:avLst/>
        </a:prstGeom>
        <a:noFill/>
        <a:ln w="9525">
          <a:noFill/>
          <a:miter lim="800000"/>
          <a:headEnd/>
          <a:tailEnd/>
        </a:ln>
      </xdr:spPr>
    </xdr:sp>
    <xdr:clientData/>
  </xdr:twoCellAnchor>
  <xdr:twoCellAnchor>
    <xdr:from>
      <xdr:col>1</xdr:col>
      <xdr:colOff>190500</xdr:colOff>
      <xdr:row>17</xdr:row>
      <xdr:rowOff>83820</xdr:rowOff>
    </xdr:from>
    <xdr:to>
      <xdr:col>10</xdr:col>
      <xdr:colOff>449580</xdr:colOff>
      <xdr:row>40</xdr:row>
      <xdr:rowOff>99060</xdr:rowOff>
    </xdr:to>
    <xdr:graphicFrame macro="">
      <xdr:nvGraphicFramePr>
        <xdr:cNvPr id="923099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495300</xdr:colOff>
      <xdr:row>35</xdr:row>
      <xdr:rowOff>99060</xdr:rowOff>
    </xdr:from>
    <xdr:to>
      <xdr:col>6</xdr:col>
      <xdr:colOff>335280</xdr:colOff>
      <xdr:row>38</xdr:row>
      <xdr:rowOff>121920</xdr:rowOff>
    </xdr:to>
    <xdr:sp macro="" textlink="">
      <xdr:nvSpPr>
        <xdr:cNvPr id="9230997" name="Text Box 8"/>
        <xdr:cNvSpPr txBox="1">
          <a:spLocks noChangeArrowheads="1"/>
        </xdr:cNvSpPr>
      </xdr:nvSpPr>
      <xdr:spPr bwMode="auto">
        <a:xfrm>
          <a:off x="1905000" y="6233160"/>
          <a:ext cx="1714500" cy="548640"/>
        </a:xfrm>
        <a:prstGeom prst="rect">
          <a:avLst/>
        </a:prstGeom>
        <a:noFill/>
        <a:ln w="9525">
          <a:noFill/>
          <a:miter lim="800000"/>
          <a:headEnd/>
          <a:tailEnd/>
        </a:ln>
      </xdr:spPr>
    </xdr:sp>
    <xdr:clientData/>
  </xdr:twoCellAnchor>
  <xdr:twoCellAnchor editAs="oneCell">
    <xdr:from>
      <xdr:col>8</xdr:col>
      <xdr:colOff>0</xdr:colOff>
      <xdr:row>36</xdr:row>
      <xdr:rowOff>22860</xdr:rowOff>
    </xdr:from>
    <xdr:to>
      <xdr:col>13</xdr:col>
      <xdr:colOff>121920</xdr:colOff>
      <xdr:row>39</xdr:row>
      <xdr:rowOff>76200</xdr:rowOff>
    </xdr:to>
    <xdr:sp macro="" textlink="">
      <xdr:nvSpPr>
        <xdr:cNvPr id="9230998" name="Text Box 9"/>
        <xdr:cNvSpPr txBox="1">
          <a:spLocks noChangeArrowheads="1"/>
        </xdr:cNvSpPr>
      </xdr:nvSpPr>
      <xdr:spPr bwMode="auto">
        <a:xfrm>
          <a:off x="4533900" y="6332220"/>
          <a:ext cx="3246120" cy="579120"/>
        </a:xfrm>
        <a:prstGeom prst="rect">
          <a:avLst/>
        </a:prstGeom>
        <a:noFill/>
        <a:ln w="9525">
          <a:noFill/>
          <a:miter lim="800000"/>
          <a:headEnd/>
          <a:tailEnd/>
        </a:ln>
      </xdr:spPr>
    </xdr:sp>
    <xdr:clientData/>
  </xdr:twoCellAnchor>
  <xdr:twoCellAnchor editAs="oneCell">
    <xdr:from>
      <xdr:col>8</xdr:col>
      <xdr:colOff>0</xdr:colOff>
      <xdr:row>45</xdr:row>
      <xdr:rowOff>0</xdr:rowOff>
    </xdr:from>
    <xdr:to>
      <xdr:col>11</xdr:col>
      <xdr:colOff>15240</xdr:colOff>
      <xdr:row>48</xdr:row>
      <xdr:rowOff>160020</xdr:rowOff>
    </xdr:to>
    <xdr:sp macro="" textlink="">
      <xdr:nvSpPr>
        <xdr:cNvPr id="9230999" name="Text Box 3"/>
        <xdr:cNvSpPr txBox="1">
          <a:spLocks noChangeArrowheads="1"/>
        </xdr:cNvSpPr>
      </xdr:nvSpPr>
      <xdr:spPr bwMode="auto">
        <a:xfrm>
          <a:off x="4533900" y="7886700"/>
          <a:ext cx="1889760" cy="685800"/>
        </a:xfrm>
        <a:prstGeom prst="rect">
          <a:avLst/>
        </a:prstGeom>
        <a:noFill/>
        <a:ln w="9525">
          <a:noFill/>
          <a:miter lim="800000"/>
          <a:headEnd/>
          <a:tailEnd/>
        </a:ln>
      </xdr:spPr>
    </xdr:sp>
    <xdr:clientData/>
  </xdr:twoCellAnchor>
  <xdr:twoCellAnchor editAs="oneCell">
    <xdr:from>
      <xdr:col>2</xdr:col>
      <xdr:colOff>495300</xdr:colOff>
      <xdr:row>10</xdr:row>
      <xdr:rowOff>0</xdr:rowOff>
    </xdr:from>
    <xdr:to>
      <xdr:col>6</xdr:col>
      <xdr:colOff>510540</xdr:colOff>
      <xdr:row>13</xdr:row>
      <xdr:rowOff>30480</xdr:rowOff>
    </xdr:to>
    <xdr:sp macro="" textlink="">
      <xdr:nvSpPr>
        <xdr:cNvPr id="9231000" name="Text Box 8"/>
        <xdr:cNvSpPr txBox="1">
          <a:spLocks noChangeArrowheads="1"/>
        </xdr:cNvSpPr>
      </xdr:nvSpPr>
      <xdr:spPr bwMode="auto">
        <a:xfrm>
          <a:off x="1280160" y="1752600"/>
          <a:ext cx="2514600" cy="556260"/>
        </a:xfrm>
        <a:prstGeom prst="rect">
          <a:avLst/>
        </a:prstGeom>
        <a:noFill/>
        <a:ln w="9525">
          <a:noFill/>
          <a:miter lim="800000"/>
          <a:headEnd/>
          <a:tailEnd/>
        </a:ln>
      </xdr:spPr>
    </xdr:sp>
    <xdr:clientData/>
  </xdr:twoCellAnchor>
  <xdr:twoCellAnchor editAs="oneCell">
    <xdr:from>
      <xdr:col>20</xdr:col>
      <xdr:colOff>312420</xdr:colOff>
      <xdr:row>17</xdr:row>
      <xdr:rowOff>0</xdr:rowOff>
    </xdr:from>
    <xdr:to>
      <xdr:col>21</xdr:col>
      <xdr:colOff>426720</xdr:colOff>
      <xdr:row>37</xdr:row>
      <xdr:rowOff>30480</xdr:rowOff>
    </xdr:to>
    <xdr:sp macro="" textlink="">
      <xdr:nvSpPr>
        <xdr:cNvPr id="9231001" name="Text Box 2"/>
        <xdr:cNvSpPr txBox="1">
          <a:spLocks noChangeArrowheads="1"/>
        </xdr:cNvSpPr>
      </xdr:nvSpPr>
      <xdr:spPr bwMode="auto">
        <a:xfrm>
          <a:off x="12344400" y="2979420"/>
          <a:ext cx="739140" cy="3535680"/>
        </a:xfrm>
        <a:prstGeom prst="rect">
          <a:avLst/>
        </a:prstGeom>
        <a:noFill/>
        <a:ln w="9525">
          <a:noFill/>
          <a:miter lim="800000"/>
          <a:headEnd/>
          <a:tailEnd/>
        </a:ln>
      </xdr:spPr>
    </xdr:sp>
    <xdr:clientData/>
  </xdr:twoCellAnchor>
  <xdr:twoCellAnchor editAs="oneCell">
    <xdr:from>
      <xdr:col>19</xdr:col>
      <xdr:colOff>0</xdr:colOff>
      <xdr:row>17</xdr:row>
      <xdr:rowOff>0</xdr:rowOff>
    </xdr:from>
    <xdr:to>
      <xdr:col>21</xdr:col>
      <xdr:colOff>335280</xdr:colOff>
      <xdr:row>20</xdr:row>
      <xdr:rowOff>76200</xdr:rowOff>
    </xdr:to>
    <xdr:sp macro="" textlink="">
      <xdr:nvSpPr>
        <xdr:cNvPr id="9231002" name="Text Box 3"/>
        <xdr:cNvSpPr txBox="1">
          <a:spLocks noChangeArrowheads="1"/>
        </xdr:cNvSpPr>
      </xdr:nvSpPr>
      <xdr:spPr bwMode="auto">
        <a:xfrm>
          <a:off x="11407140" y="2979420"/>
          <a:ext cx="1584960" cy="601980"/>
        </a:xfrm>
        <a:prstGeom prst="rect">
          <a:avLst/>
        </a:prstGeom>
        <a:noFill/>
        <a:ln w="9525">
          <a:noFill/>
          <a:miter lim="800000"/>
          <a:headEnd/>
          <a:tailEnd/>
        </a:ln>
      </xdr:spPr>
    </xdr:sp>
    <xdr:clientData/>
  </xdr:twoCellAnchor>
  <xdr:twoCellAnchor editAs="oneCell">
    <xdr:from>
      <xdr:col>13</xdr:col>
      <xdr:colOff>495300</xdr:colOff>
      <xdr:row>17</xdr:row>
      <xdr:rowOff>0</xdr:rowOff>
    </xdr:from>
    <xdr:to>
      <xdr:col>17</xdr:col>
      <xdr:colOff>510540</xdr:colOff>
      <xdr:row>20</xdr:row>
      <xdr:rowOff>30480</xdr:rowOff>
    </xdr:to>
    <xdr:sp macro="" textlink="">
      <xdr:nvSpPr>
        <xdr:cNvPr id="9231003" name="Text Box 8"/>
        <xdr:cNvSpPr txBox="1">
          <a:spLocks noChangeArrowheads="1"/>
        </xdr:cNvSpPr>
      </xdr:nvSpPr>
      <xdr:spPr bwMode="auto">
        <a:xfrm>
          <a:off x="8153400" y="2979420"/>
          <a:ext cx="2514600" cy="556260"/>
        </a:xfrm>
        <a:prstGeom prst="rect">
          <a:avLst/>
        </a:prstGeom>
        <a:noFill/>
        <a:ln w="9525">
          <a:noFill/>
          <a:miter lim="800000"/>
          <a:headEnd/>
          <a:tailEnd/>
        </a:ln>
      </xdr:spPr>
    </xdr:sp>
    <xdr:clientData/>
  </xdr:twoCellAnchor>
  <xdr:twoCellAnchor>
    <xdr:from>
      <xdr:col>12</xdr:col>
      <xdr:colOff>190500</xdr:colOff>
      <xdr:row>17</xdr:row>
      <xdr:rowOff>83820</xdr:rowOff>
    </xdr:from>
    <xdr:to>
      <xdr:col>21</xdr:col>
      <xdr:colOff>449580</xdr:colOff>
      <xdr:row>40</xdr:row>
      <xdr:rowOff>99060</xdr:rowOff>
    </xdr:to>
    <xdr:graphicFrame macro="">
      <xdr:nvGraphicFramePr>
        <xdr:cNvPr id="923100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14</xdr:col>
      <xdr:colOff>495300</xdr:colOff>
      <xdr:row>35</xdr:row>
      <xdr:rowOff>99060</xdr:rowOff>
    </xdr:from>
    <xdr:to>
      <xdr:col>17</xdr:col>
      <xdr:colOff>335280</xdr:colOff>
      <xdr:row>38</xdr:row>
      <xdr:rowOff>121920</xdr:rowOff>
    </xdr:to>
    <xdr:sp macro="" textlink="">
      <xdr:nvSpPr>
        <xdr:cNvPr id="9231005" name="Text Box 8"/>
        <xdr:cNvSpPr txBox="1">
          <a:spLocks noChangeArrowheads="1"/>
        </xdr:cNvSpPr>
      </xdr:nvSpPr>
      <xdr:spPr bwMode="auto">
        <a:xfrm>
          <a:off x="8778240" y="6233160"/>
          <a:ext cx="1714500" cy="548640"/>
        </a:xfrm>
        <a:prstGeom prst="rect">
          <a:avLst/>
        </a:prstGeom>
        <a:noFill/>
        <a:ln w="9525">
          <a:noFill/>
          <a:miter lim="800000"/>
          <a:headEnd/>
          <a:tailEnd/>
        </a:ln>
      </xdr:spPr>
    </xdr:sp>
    <xdr:clientData/>
  </xdr:twoCellAnchor>
</xdr:wsDr>
</file>

<file path=xl/drawings/drawing14.xml><?xml version="1.0" encoding="utf-8"?>
<c:userShapes xmlns:c="http://schemas.openxmlformats.org/drawingml/2006/chart">
  <cdr:relSizeAnchor xmlns:cdr="http://schemas.openxmlformats.org/drawingml/2006/chartDrawing">
    <cdr:from>
      <cdr:x>0.02568</cdr:x>
      <cdr:y>0.47804</cdr:y>
    </cdr:from>
    <cdr:to>
      <cdr:x>0.03704</cdr:x>
      <cdr:y>0.53119</cdr:y>
    </cdr:to>
    <cdr:sp macro="" textlink="">
      <cdr:nvSpPr>
        <cdr:cNvPr id="4099" name="Text Box 3"/>
        <cdr:cNvSpPr txBox="1">
          <a:spLocks xmlns:a="http://schemas.openxmlformats.org/drawingml/2006/main" noChangeArrowheads="1"/>
        </cdr:cNvSpPr>
      </cdr:nvSpPr>
      <cdr:spPr bwMode="auto">
        <a:xfrm xmlns:a="http://schemas.openxmlformats.org/drawingml/2006/main">
          <a:off x="203419" y="2216366"/>
          <a:ext cx="94479" cy="26710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0.03505</cdr:x>
      <cdr:y>0.48736</cdr:y>
    </cdr:from>
    <cdr:to>
      <cdr:x>0.55188</cdr:x>
      <cdr:y>0.59568</cdr:y>
    </cdr:to>
    <cdr:sp macro="" textlink="">
      <cdr:nvSpPr>
        <cdr:cNvPr id="4100" name="Text Box 4"/>
        <cdr:cNvSpPr txBox="1">
          <a:spLocks xmlns:a="http://schemas.openxmlformats.org/drawingml/2006/main" noChangeArrowheads="1"/>
        </cdr:cNvSpPr>
      </cdr:nvSpPr>
      <cdr:spPr bwMode="auto">
        <a:xfrm xmlns:a="http://schemas.openxmlformats.org/drawingml/2006/main">
          <a:off x="270644" y="2258288"/>
          <a:ext cx="3819111" cy="56175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0.41031</cdr:x>
      <cdr:y>0.65559</cdr:y>
    </cdr:from>
    <cdr:to>
      <cdr:x>0.94801</cdr:x>
      <cdr:y>0.79815</cdr:y>
    </cdr:to>
    <cdr:sp macro="" textlink="">
      <cdr:nvSpPr>
        <cdr:cNvPr id="4" name="TextBox 3"/>
        <cdr:cNvSpPr txBox="1"/>
      </cdr:nvSpPr>
      <cdr:spPr>
        <a:xfrm xmlns:a="http://schemas.openxmlformats.org/drawingml/2006/main">
          <a:off x="2468881" y="2668442"/>
          <a:ext cx="3092038" cy="57379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400" b="1">
              <a:solidFill>
                <a:srgbClr val="FF0000"/>
              </a:solidFill>
            </a:rPr>
            <a:t>Revenue line is </a:t>
          </a:r>
          <a:r>
            <a:rPr lang="en-US" sz="1400" b="1" u="sng">
              <a:solidFill>
                <a:srgbClr val="FF0000"/>
              </a:solidFill>
            </a:rPr>
            <a:t>all</a:t>
          </a:r>
          <a:r>
            <a:rPr lang="en-US" sz="1400" b="1" u="none">
              <a:solidFill>
                <a:srgbClr val="FF0000"/>
              </a:solidFill>
            </a:rPr>
            <a:t> carbon-tax revenues,</a:t>
          </a:r>
          <a:r>
            <a:rPr lang="en-US" sz="1400" b="1" u="none" baseline="0">
              <a:solidFill>
                <a:srgbClr val="FF0000"/>
              </a:solidFill>
            </a:rPr>
            <a:t> </a:t>
          </a:r>
        </a:p>
        <a:p xmlns:a="http://schemas.openxmlformats.org/drawingml/2006/main">
          <a:r>
            <a:rPr lang="en-US" sz="1400" b="1" u="none" baseline="0">
              <a:solidFill>
                <a:srgbClr val="FF0000"/>
              </a:solidFill>
            </a:rPr>
            <a:t>in billions (nominal $).</a:t>
          </a:r>
          <a:endParaRPr lang="en-US" sz="1400" b="1" u="none">
            <a:solidFill>
              <a:srgbClr val="FF0000"/>
            </a:solidFill>
          </a:endParaRPr>
        </a:p>
        <a:p xmlns:a="http://schemas.openxmlformats.org/drawingml/2006/main">
          <a:endParaRPr lang="en-US" sz="1100" u="none"/>
        </a:p>
        <a:p xmlns:a="http://schemas.openxmlformats.org/drawingml/2006/main">
          <a:endParaRPr lang="en-US" sz="1100"/>
        </a:p>
      </cdr:txBody>
    </cdr:sp>
  </cdr:relSizeAnchor>
  <cdr:relSizeAnchor xmlns:cdr="http://schemas.openxmlformats.org/drawingml/2006/chartDrawing">
    <cdr:from>
      <cdr:x>0.26048</cdr:x>
      <cdr:y>0.14753</cdr:y>
    </cdr:from>
    <cdr:to>
      <cdr:x>0.83652</cdr:x>
      <cdr:y>0.37269</cdr:y>
    </cdr:to>
    <cdr:sp macro="" textlink="">
      <cdr:nvSpPr>
        <cdr:cNvPr id="5" name="TextBox 4"/>
        <cdr:cNvSpPr txBox="1"/>
      </cdr:nvSpPr>
      <cdr:spPr>
        <a:xfrm xmlns:a="http://schemas.openxmlformats.org/drawingml/2006/main">
          <a:off x="1607820" y="608754"/>
          <a:ext cx="3314700" cy="91298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400" b="1">
              <a:solidFill>
                <a:srgbClr val="0099CC"/>
              </a:solidFill>
              <a:latin typeface="+mn-lt"/>
              <a:ea typeface="+mn-ea"/>
              <a:cs typeface="+mn-cs"/>
            </a:rPr>
            <a:t>Dividend line, in thousands of nominal $, </a:t>
          </a:r>
        </a:p>
        <a:p xmlns:a="http://schemas.openxmlformats.org/drawingml/2006/main">
          <a:r>
            <a:rPr lang="en-US" sz="1400" b="1">
              <a:solidFill>
                <a:srgbClr val="0099CC"/>
              </a:solidFill>
              <a:latin typeface="+mn-lt"/>
              <a:ea typeface="+mn-ea"/>
              <a:cs typeface="+mn-cs"/>
            </a:rPr>
            <a:t>reflects deductions (if any) for deficit reduction </a:t>
          </a:r>
        </a:p>
        <a:p xmlns:a="http://schemas.openxmlformats.org/drawingml/2006/main">
          <a:r>
            <a:rPr lang="en-US" sz="1400" b="1">
              <a:solidFill>
                <a:srgbClr val="0099CC"/>
              </a:solidFill>
              <a:latin typeface="+mn-lt"/>
              <a:ea typeface="+mn-ea"/>
              <a:cs typeface="+mn-cs"/>
            </a:rPr>
            <a:t>or other purposes.</a:t>
          </a:r>
          <a:endParaRPr lang="en-US" sz="1400">
            <a:solidFill>
              <a:srgbClr val="0099CC"/>
            </a:solidFill>
          </a:endParaRPr>
        </a:p>
        <a:p xmlns:a="http://schemas.openxmlformats.org/drawingml/2006/main">
          <a:endParaRPr lang="en-US" sz="1100"/>
        </a:p>
      </cdr:txBody>
    </cdr:sp>
  </cdr:relSizeAnchor>
</c:userShapes>
</file>

<file path=xl/drawings/drawing15.xml><?xml version="1.0" encoding="utf-8"?>
<c:userShapes xmlns:c="http://schemas.openxmlformats.org/drawingml/2006/chart">
  <cdr:relSizeAnchor xmlns:cdr="http://schemas.openxmlformats.org/drawingml/2006/chartDrawing">
    <cdr:from>
      <cdr:x>0.02568</cdr:x>
      <cdr:y>0.48315</cdr:y>
    </cdr:from>
    <cdr:to>
      <cdr:x>0.03779</cdr:x>
      <cdr:y>0.53704</cdr:y>
    </cdr:to>
    <cdr:sp macro="" textlink="">
      <cdr:nvSpPr>
        <cdr:cNvPr id="4099" name="Text Box 3"/>
        <cdr:cNvSpPr txBox="1">
          <a:spLocks xmlns:a="http://schemas.openxmlformats.org/drawingml/2006/main" noChangeArrowheads="1"/>
        </cdr:cNvSpPr>
      </cdr:nvSpPr>
      <cdr:spPr bwMode="auto">
        <a:xfrm xmlns:a="http://schemas.openxmlformats.org/drawingml/2006/main">
          <a:off x="203419" y="2216366"/>
          <a:ext cx="94479" cy="26710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0.03531</cdr:x>
      <cdr:y>0.49272</cdr:y>
    </cdr:from>
    <cdr:to>
      <cdr:x>0.55312</cdr:x>
      <cdr:y>0.60129</cdr:y>
    </cdr:to>
    <cdr:sp macro="" textlink="">
      <cdr:nvSpPr>
        <cdr:cNvPr id="4100" name="Text Box 4"/>
        <cdr:cNvSpPr txBox="1">
          <a:spLocks xmlns:a="http://schemas.openxmlformats.org/drawingml/2006/main" noChangeArrowheads="1"/>
        </cdr:cNvSpPr>
      </cdr:nvSpPr>
      <cdr:spPr bwMode="auto">
        <a:xfrm xmlns:a="http://schemas.openxmlformats.org/drawingml/2006/main">
          <a:off x="270644" y="2258288"/>
          <a:ext cx="3819111" cy="56175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0.41056</cdr:x>
      <cdr:y>0.66071</cdr:y>
    </cdr:from>
    <cdr:to>
      <cdr:x>0.94899</cdr:x>
      <cdr:y>0.80302</cdr:y>
    </cdr:to>
    <cdr:sp macro="" textlink="">
      <cdr:nvSpPr>
        <cdr:cNvPr id="4" name="TextBox 3"/>
        <cdr:cNvSpPr txBox="1"/>
      </cdr:nvSpPr>
      <cdr:spPr>
        <a:xfrm xmlns:a="http://schemas.openxmlformats.org/drawingml/2006/main">
          <a:off x="2468881" y="2668442"/>
          <a:ext cx="3092038" cy="57379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u="none"/>
        </a:p>
        <a:p xmlns:a="http://schemas.openxmlformats.org/drawingml/2006/main">
          <a:endParaRPr lang="en-US" sz="1100"/>
        </a:p>
      </cdr:txBody>
    </cdr:sp>
  </cdr:relSizeAnchor>
  <cdr:relSizeAnchor xmlns:cdr="http://schemas.openxmlformats.org/drawingml/2006/chartDrawing">
    <cdr:from>
      <cdr:x>0.21469</cdr:x>
      <cdr:y>0.18518</cdr:y>
    </cdr:from>
    <cdr:to>
      <cdr:x>0.83776</cdr:x>
      <cdr:y>0.37854</cdr:y>
    </cdr:to>
    <cdr:sp macro="" textlink="">
      <cdr:nvSpPr>
        <cdr:cNvPr id="5" name="TextBox 4"/>
        <cdr:cNvSpPr txBox="1"/>
      </cdr:nvSpPr>
      <cdr:spPr>
        <a:xfrm xmlns:a="http://schemas.openxmlformats.org/drawingml/2006/main">
          <a:off x="1341120" y="731520"/>
          <a:ext cx="3584238" cy="78532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400" b="1">
              <a:solidFill>
                <a:srgbClr val="0099CC"/>
              </a:solidFill>
              <a:latin typeface="+mn-lt"/>
              <a:ea typeface="+mn-ea"/>
              <a:cs typeface="+mn-cs"/>
            </a:rPr>
            <a:t>Dividends assume</a:t>
          </a:r>
          <a:r>
            <a:rPr lang="en-US" sz="1400" b="1" baseline="0">
              <a:solidFill>
                <a:srgbClr val="0099CC"/>
              </a:solidFill>
              <a:latin typeface="+mn-lt"/>
              <a:ea typeface="+mn-ea"/>
              <a:cs typeface="+mn-cs"/>
            </a:rPr>
            <a:t> "Larson" tax trajectory,</a:t>
          </a:r>
        </a:p>
        <a:p xmlns:a="http://schemas.openxmlformats.org/drawingml/2006/main">
          <a:r>
            <a:rPr lang="en-US" sz="1400" b="1" baseline="0">
              <a:solidFill>
                <a:srgbClr val="0099CC"/>
              </a:solidFill>
              <a:latin typeface="+mn-lt"/>
              <a:ea typeface="+mn-ea"/>
              <a:cs typeface="+mn-cs"/>
            </a:rPr>
            <a:t>with zero use of revenue </a:t>
          </a:r>
          <a:r>
            <a:rPr lang="en-US" sz="1400" b="1">
              <a:solidFill>
                <a:srgbClr val="0099CC"/>
              </a:solidFill>
              <a:latin typeface="+mn-lt"/>
              <a:ea typeface="+mn-ea"/>
              <a:cs typeface="+mn-cs"/>
            </a:rPr>
            <a:t>for deficit reduction </a:t>
          </a:r>
        </a:p>
        <a:p xmlns:a="http://schemas.openxmlformats.org/drawingml/2006/main">
          <a:r>
            <a:rPr lang="en-US" sz="1400" b="1">
              <a:solidFill>
                <a:srgbClr val="0099CC"/>
              </a:solidFill>
              <a:latin typeface="+mn-lt"/>
              <a:ea typeface="+mn-ea"/>
              <a:cs typeface="+mn-cs"/>
            </a:rPr>
            <a:t>or other purposes.</a:t>
          </a:r>
          <a:endParaRPr lang="en-US" sz="1400" b="1">
            <a:solidFill>
              <a:srgbClr val="0099CC"/>
            </a:solidFill>
          </a:endParaRPr>
        </a:p>
        <a:p xmlns:a="http://schemas.openxmlformats.org/drawingml/2006/main">
          <a:endParaRPr lang="en-US" sz="1100"/>
        </a:p>
      </cdr:txBody>
    </cdr:sp>
  </cdr:relSizeAnchor>
  <cdr:relSizeAnchor xmlns:cdr="http://schemas.openxmlformats.org/drawingml/2006/chartDrawing">
    <cdr:from>
      <cdr:x>0.75518</cdr:x>
      <cdr:y>0.65913</cdr:y>
    </cdr:from>
    <cdr:to>
      <cdr:x>0.91062</cdr:x>
      <cdr:y>0.88512</cdr:y>
    </cdr:to>
    <cdr:sp macro="" textlink="">
      <cdr:nvSpPr>
        <cdr:cNvPr id="6" name="TextBox 5"/>
        <cdr:cNvSpPr txBox="1"/>
      </cdr:nvSpPr>
      <cdr:spPr>
        <a:xfrm xmlns:a="http://schemas.openxmlformats.org/drawingml/2006/main">
          <a:off x="4442460" y="26670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a:p>
      </cdr:txBody>
    </cdr:sp>
  </cdr:relSizeAnchor>
  <cdr:relSizeAnchor xmlns:cdr="http://schemas.openxmlformats.org/drawingml/2006/chartDrawing">
    <cdr:from>
      <cdr:x>0.6399</cdr:x>
      <cdr:y>0.58192</cdr:y>
    </cdr:from>
    <cdr:to>
      <cdr:x>0.85622</cdr:x>
      <cdr:y>0.77213</cdr:y>
    </cdr:to>
    <cdr:sp macro="" textlink="">
      <cdr:nvSpPr>
        <cdr:cNvPr id="7" name="TextBox 6"/>
        <cdr:cNvSpPr txBox="1"/>
      </cdr:nvSpPr>
      <cdr:spPr>
        <a:xfrm xmlns:a="http://schemas.openxmlformats.org/drawingml/2006/main">
          <a:off x="3764280" y="2354580"/>
          <a:ext cx="1272540" cy="7696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a:p>
      </cdr:txBody>
    </cdr:sp>
  </cdr:relSizeAnchor>
</c:userShapes>
</file>

<file path=xl/drawings/drawing16.xml><?xml version="1.0" encoding="utf-8"?>
<xdr:wsDr xmlns:xdr="http://schemas.openxmlformats.org/drawingml/2006/spreadsheetDrawing" xmlns:a="http://schemas.openxmlformats.org/drawingml/2006/main">
  <xdr:twoCellAnchor>
    <xdr:from>
      <xdr:col>7</xdr:col>
      <xdr:colOff>373380</xdr:colOff>
      <xdr:row>32</xdr:row>
      <xdr:rowOff>91440</xdr:rowOff>
    </xdr:from>
    <xdr:to>
      <xdr:col>8</xdr:col>
      <xdr:colOff>78836</xdr:colOff>
      <xdr:row>32</xdr:row>
      <xdr:rowOff>99060</xdr:rowOff>
    </xdr:to>
    <xdr:cxnSp macro="">
      <xdr:nvCxnSpPr>
        <xdr:cNvPr id="3" name="Straight Arrow Connector 2"/>
        <xdr:cNvCxnSpPr/>
      </xdr:nvCxnSpPr>
      <xdr:spPr>
        <a:xfrm flipH="1" flipV="1">
          <a:off x="3870960" y="5524500"/>
          <a:ext cx="251460" cy="762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xdr:from>
      <xdr:col>14</xdr:col>
      <xdr:colOff>495300</xdr:colOff>
      <xdr:row>7</xdr:row>
      <xdr:rowOff>114300</xdr:rowOff>
    </xdr:from>
    <xdr:to>
      <xdr:col>15</xdr:col>
      <xdr:colOff>15240</xdr:colOff>
      <xdr:row>10</xdr:row>
      <xdr:rowOff>60960</xdr:rowOff>
    </xdr:to>
    <xdr:sp macro="" textlink="">
      <xdr:nvSpPr>
        <xdr:cNvPr id="7857272" name="Line 2"/>
        <xdr:cNvSpPr>
          <a:spLocks noChangeShapeType="1"/>
        </xdr:cNvSpPr>
      </xdr:nvSpPr>
      <xdr:spPr bwMode="auto">
        <a:xfrm flipH="1">
          <a:off x="7399020" y="1341120"/>
          <a:ext cx="106680" cy="472440"/>
        </a:xfrm>
        <a:prstGeom prst="line">
          <a:avLst/>
        </a:prstGeom>
        <a:noFill/>
        <a:ln w="9525">
          <a:solidFill>
            <a:srgbClr val="000000"/>
          </a:solidFill>
          <a:round/>
          <a:headEnd/>
          <a:tailEnd type="triangle" w="med" len="med"/>
        </a:ln>
      </xdr:spPr>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14</xdr:row>
      <xdr:rowOff>83820</xdr:rowOff>
    </xdr:from>
    <xdr:to>
      <xdr:col>9</xdr:col>
      <xdr:colOff>213360</xdr:colOff>
      <xdr:row>40</xdr:row>
      <xdr:rowOff>83820</xdr:rowOff>
    </xdr:to>
    <xdr:graphicFrame macro="">
      <xdr:nvGraphicFramePr>
        <xdr:cNvPr id="1011512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335280</xdr:colOff>
      <xdr:row>15</xdr:row>
      <xdr:rowOff>68580</xdr:rowOff>
    </xdr:from>
    <xdr:ext cx="3594624" cy="547667"/>
    <xdr:sp macro="" textlink="">
      <xdr:nvSpPr>
        <xdr:cNvPr id="3" name="TextBox 2"/>
        <xdr:cNvSpPr txBox="1"/>
      </xdr:nvSpPr>
      <xdr:spPr>
        <a:xfrm>
          <a:off x="1158240" y="2293620"/>
          <a:ext cx="3594624" cy="5476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2400" b="1"/>
            <a:t>U.S. CO2 Emissions, 2012</a:t>
          </a:r>
        </a:p>
      </xdr:txBody>
    </xdr:sp>
    <xdr:clientData/>
  </xdr:oneCellAnchor>
  <xdr:twoCellAnchor>
    <xdr:from>
      <xdr:col>1</xdr:col>
      <xdr:colOff>121920</xdr:colOff>
      <xdr:row>60</xdr:row>
      <xdr:rowOff>38100</xdr:rowOff>
    </xdr:from>
    <xdr:to>
      <xdr:col>5</xdr:col>
      <xdr:colOff>716280</xdr:colOff>
      <xdr:row>77</xdr:row>
      <xdr:rowOff>76200</xdr:rowOff>
    </xdr:to>
    <xdr:graphicFrame macro="">
      <xdr:nvGraphicFramePr>
        <xdr:cNvPr id="1011512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114300</xdr:colOff>
      <xdr:row>60</xdr:row>
      <xdr:rowOff>53340</xdr:rowOff>
    </xdr:from>
    <xdr:to>
      <xdr:col>10</xdr:col>
      <xdr:colOff>701040</xdr:colOff>
      <xdr:row>77</xdr:row>
      <xdr:rowOff>53340</xdr:rowOff>
    </xdr:to>
    <xdr:graphicFrame macro="">
      <xdr:nvGraphicFramePr>
        <xdr:cNvPr id="1011512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121920</xdr:colOff>
      <xdr:row>80</xdr:row>
      <xdr:rowOff>38100</xdr:rowOff>
    </xdr:from>
    <xdr:to>
      <xdr:col>5</xdr:col>
      <xdr:colOff>701040</xdr:colOff>
      <xdr:row>97</xdr:row>
      <xdr:rowOff>45720</xdr:rowOff>
    </xdr:to>
    <xdr:graphicFrame macro="">
      <xdr:nvGraphicFramePr>
        <xdr:cNvPr id="1011512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91440</xdr:colOff>
      <xdr:row>80</xdr:row>
      <xdr:rowOff>45720</xdr:rowOff>
    </xdr:from>
    <xdr:to>
      <xdr:col>10</xdr:col>
      <xdr:colOff>693420</xdr:colOff>
      <xdr:row>97</xdr:row>
      <xdr:rowOff>60960</xdr:rowOff>
    </xdr:to>
    <xdr:graphicFrame macro="">
      <xdr:nvGraphicFramePr>
        <xdr:cNvPr id="10115125"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oneCellAnchor>
    <xdr:from>
      <xdr:col>2</xdr:col>
      <xdr:colOff>1906</xdr:colOff>
      <xdr:row>115</xdr:row>
      <xdr:rowOff>85726</xdr:rowOff>
    </xdr:from>
    <xdr:ext cx="1472375" cy="1652496"/>
    <xdr:sp macro="" textlink="">
      <xdr:nvSpPr>
        <xdr:cNvPr id="11" name="TextBox 10"/>
        <xdr:cNvSpPr txBox="1"/>
      </xdr:nvSpPr>
      <xdr:spPr>
        <a:xfrm>
          <a:off x="1276351" y="12658726"/>
          <a:ext cx="1504950" cy="1657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a:p>
      </xdr:txBody>
    </xdr:sp>
    <xdr:clientData/>
  </xdr:oneCellAnchor>
  <xdr:twoCellAnchor editAs="oneCell">
    <xdr:from>
      <xdr:col>3</xdr:col>
      <xdr:colOff>15240</xdr:colOff>
      <xdr:row>121</xdr:row>
      <xdr:rowOff>45720</xdr:rowOff>
    </xdr:from>
    <xdr:to>
      <xdr:col>6</xdr:col>
      <xdr:colOff>7620</xdr:colOff>
      <xdr:row>125</xdr:row>
      <xdr:rowOff>137160</xdr:rowOff>
    </xdr:to>
    <xdr:sp macro="" textlink="">
      <xdr:nvSpPr>
        <xdr:cNvPr id="10115127" name="Text Box 452"/>
        <xdr:cNvSpPr txBox="1">
          <a:spLocks noChangeArrowheads="1"/>
        </xdr:cNvSpPr>
      </xdr:nvSpPr>
      <xdr:spPr bwMode="auto">
        <a:xfrm>
          <a:off x="1493520" y="17663160"/>
          <a:ext cx="1958340" cy="670560"/>
        </a:xfrm>
        <a:prstGeom prst="rect">
          <a:avLst/>
        </a:prstGeom>
        <a:noFill/>
        <a:ln w="9525">
          <a:noFill/>
          <a:miter lim="800000"/>
          <a:headEnd/>
          <a:tailEnd/>
        </a:ln>
      </xdr:spPr>
    </xdr:sp>
    <xdr:clientData/>
  </xdr:twoCellAnchor>
  <xdr:oneCellAnchor>
    <xdr:from>
      <xdr:col>2</xdr:col>
      <xdr:colOff>1906</xdr:colOff>
      <xdr:row>115</xdr:row>
      <xdr:rowOff>85726</xdr:rowOff>
    </xdr:from>
    <xdr:ext cx="1472375" cy="1652496"/>
    <xdr:sp macro="" textlink="">
      <xdr:nvSpPr>
        <xdr:cNvPr id="13" name="TextBox 12"/>
        <xdr:cNvSpPr txBox="1"/>
      </xdr:nvSpPr>
      <xdr:spPr>
        <a:xfrm>
          <a:off x="1276351" y="12658726"/>
          <a:ext cx="1504950" cy="1657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a:p>
      </xdr:txBody>
    </xdr:sp>
    <xdr:clientData/>
  </xdr:oneCellAnchor>
  <xdr:twoCellAnchor>
    <xdr:from>
      <xdr:col>1</xdr:col>
      <xdr:colOff>45720</xdr:colOff>
      <xdr:row>111</xdr:row>
      <xdr:rowOff>76200</xdr:rowOff>
    </xdr:from>
    <xdr:to>
      <xdr:col>7</xdr:col>
      <xdr:colOff>617220</xdr:colOff>
      <xdr:row>131</xdr:row>
      <xdr:rowOff>106680</xdr:rowOff>
    </xdr:to>
    <xdr:graphicFrame macro="">
      <xdr:nvGraphicFramePr>
        <xdr:cNvPr id="10115129" name="Chart 4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3</xdr:col>
      <xdr:colOff>15240</xdr:colOff>
      <xdr:row>121</xdr:row>
      <xdr:rowOff>45720</xdr:rowOff>
    </xdr:from>
    <xdr:to>
      <xdr:col>6</xdr:col>
      <xdr:colOff>7620</xdr:colOff>
      <xdr:row>125</xdr:row>
      <xdr:rowOff>137160</xdr:rowOff>
    </xdr:to>
    <xdr:sp macro="" textlink="">
      <xdr:nvSpPr>
        <xdr:cNvPr id="10115130" name="Text Box 452"/>
        <xdr:cNvSpPr txBox="1">
          <a:spLocks noChangeArrowheads="1"/>
        </xdr:cNvSpPr>
      </xdr:nvSpPr>
      <xdr:spPr bwMode="auto">
        <a:xfrm>
          <a:off x="1493520" y="17663160"/>
          <a:ext cx="1958340" cy="670560"/>
        </a:xfrm>
        <a:prstGeom prst="rect">
          <a:avLst/>
        </a:prstGeom>
        <a:noFill/>
        <a:ln w="9525">
          <a:noFill/>
          <a:miter lim="800000"/>
          <a:headEnd/>
          <a:tailEnd/>
        </a:ln>
      </xdr:spPr>
    </xdr:sp>
    <xdr:clientData/>
  </xdr:twoCellAnchor>
  <xdr:twoCellAnchor>
    <xdr:from>
      <xdr:col>4</xdr:col>
      <xdr:colOff>531495</xdr:colOff>
      <xdr:row>117</xdr:row>
      <xdr:rowOff>85725</xdr:rowOff>
    </xdr:from>
    <xdr:to>
      <xdr:col>4</xdr:col>
      <xdr:colOff>567620</xdr:colOff>
      <xdr:row>120</xdr:row>
      <xdr:rowOff>76200</xdr:rowOff>
    </xdr:to>
    <xdr:cxnSp macro="">
      <xdr:nvCxnSpPr>
        <xdr:cNvPr id="17" name="Straight Arrow Connector 16"/>
        <xdr:cNvCxnSpPr/>
      </xdr:nvCxnSpPr>
      <xdr:spPr>
        <a:xfrm>
          <a:off x="2714625" y="18440400"/>
          <a:ext cx="38100" cy="447675"/>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647700</xdr:colOff>
      <xdr:row>117</xdr:row>
      <xdr:rowOff>28575</xdr:rowOff>
    </xdr:from>
    <xdr:to>
      <xdr:col>5</xdr:col>
      <xdr:colOff>491886</xdr:colOff>
      <xdr:row>120</xdr:row>
      <xdr:rowOff>28575</xdr:rowOff>
    </xdr:to>
    <xdr:cxnSp macro="">
      <xdr:nvCxnSpPr>
        <xdr:cNvPr id="19" name="Straight Arrow Connector 18"/>
        <xdr:cNvCxnSpPr/>
      </xdr:nvCxnSpPr>
      <xdr:spPr>
        <a:xfrm>
          <a:off x="2847975" y="18383250"/>
          <a:ext cx="542925" cy="45720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11430</xdr:colOff>
      <xdr:row>116</xdr:row>
      <xdr:rowOff>87630</xdr:rowOff>
    </xdr:from>
    <xdr:to>
      <xdr:col>4</xdr:col>
      <xdr:colOff>229196</xdr:colOff>
      <xdr:row>116</xdr:row>
      <xdr:rowOff>87630</xdr:rowOff>
    </xdr:to>
    <xdr:cxnSp macro="">
      <xdr:nvCxnSpPr>
        <xdr:cNvPr id="21" name="Straight Arrow Connector 20"/>
        <xdr:cNvCxnSpPr/>
      </xdr:nvCxnSpPr>
      <xdr:spPr>
        <a:xfrm flipH="1">
          <a:off x="2162175" y="18297525"/>
          <a:ext cx="219075"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60960</xdr:colOff>
      <xdr:row>136</xdr:row>
      <xdr:rowOff>7620</xdr:rowOff>
    </xdr:from>
    <xdr:to>
      <xdr:col>4</xdr:col>
      <xdr:colOff>601980</xdr:colOff>
      <xdr:row>157</xdr:row>
      <xdr:rowOff>114300</xdr:rowOff>
    </xdr:to>
    <xdr:graphicFrame macro="">
      <xdr:nvGraphicFramePr>
        <xdr:cNvPr id="1011513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oneCellAnchor>
    <xdr:from>
      <xdr:col>2</xdr:col>
      <xdr:colOff>1906</xdr:colOff>
      <xdr:row>192</xdr:row>
      <xdr:rowOff>85726</xdr:rowOff>
    </xdr:from>
    <xdr:ext cx="1472375" cy="1652496"/>
    <xdr:sp macro="" textlink="">
      <xdr:nvSpPr>
        <xdr:cNvPr id="23" name="TextBox 22"/>
        <xdr:cNvSpPr txBox="1"/>
      </xdr:nvSpPr>
      <xdr:spPr>
        <a:xfrm>
          <a:off x="895351" y="17678401"/>
          <a:ext cx="1504950" cy="1657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a:p>
      </xdr:txBody>
    </xdr:sp>
    <xdr:clientData/>
  </xdr:oneCellAnchor>
  <xdr:twoCellAnchor editAs="oneCell">
    <xdr:from>
      <xdr:col>3</xdr:col>
      <xdr:colOff>15240</xdr:colOff>
      <xdr:row>198</xdr:row>
      <xdr:rowOff>45720</xdr:rowOff>
    </xdr:from>
    <xdr:to>
      <xdr:col>6</xdr:col>
      <xdr:colOff>7620</xdr:colOff>
      <xdr:row>202</xdr:row>
      <xdr:rowOff>137160</xdr:rowOff>
    </xdr:to>
    <xdr:sp macro="" textlink="">
      <xdr:nvSpPr>
        <xdr:cNvPr id="10115136" name="Text Box 452"/>
        <xdr:cNvSpPr txBox="1">
          <a:spLocks noChangeArrowheads="1"/>
        </xdr:cNvSpPr>
      </xdr:nvSpPr>
      <xdr:spPr bwMode="auto">
        <a:xfrm>
          <a:off x="1493520" y="28879800"/>
          <a:ext cx="1958340" cy="670560"/>
        </a:xfrm>
        <a:prstGeom prst="rect">
          <a:avLst/>
        </a:prstGeom>
        <a:noFill/>
        <a:ln w="9525">
          <a:noFill/>
          <a:miter lim="800000"/>
          <a:headEnd/>
          <a:tailEnd/>
        </a:ln>
      </xdr:spPr>
    </xdr:sp>
    <xdr:clientData/>
  </xdr:twoCellAnchor>
  <xdr:oneCellAnchor>
    <xdr:from>
      <xdr:col>2</xdr:col>
      <xdr:colOff>1906</xdr:colOff>
      <xdr:row>192</xdr:row>
      <xdr:rowOff>85726</xdr:rowOff>
    </xdr:from>
    <xdr:ext cx="1472375" cy="1652496"/>
    <xdr:sp macro="" textlink="">
      <xdr:nvSpPr>
        <xdr:cNvPr id="25" name="TextBox 24"/>
        <xdr:cNvSpPr txBox="1"/>
      </xdr:nvSpPr>
      <xdr:spPr>
        <a:xfrm>
          <a:off x="895351" y="17678401"/>
          <a:ext cx="1504950" cy="1657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a:p>
      </xdr:txBody>
    </xdr:sp>
    <xdr:clientData/>
  </xdr:oneCellAnchor>
  <xdr:twoCellAnchor>
    <xdr:from>
      <xdr:col>1</xdr:col>
      <xdr:colOff>45720</xdr:colOff>
      <xdr:row>188</xdr:row>
      <xdr:rowOff>76200</xdr:rowOff>
    </xdr:from>
    <xdr:to>
      <xdr:col>4</xdr:col>
      <xdr:colOff>594360</xdr:colOff>
      <xdr:row>208</xdr:row>
      <xdr:rowOff>60960</xdr:rowOff>
    </xdr:to>
    <xdr:graphicFrame macro="">
      <xdr:nvGraphicFramePr>
        <xdr:cNvPr id="10115138" name="Chart 4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3</xdr:col>
      <xdr:colOff>15240</xdr:colOff>
      <xdr:row>198</xdr:row>
      <xdr:rowOff>45720</xdr:rowOff>
    </xdr:from>
    <xdr:to>
      <xdr:col>6</xdr:col>
      <xdr:colOff>7620</xdr:colOff>
      <xdr:row>202</xdr:row>
      <xdr:rowOff>137160</xdr:rowOff>
    </xdr:to>
    <xdr:sp macro="" textlink="">
      <xdr:nvSpPr>
        <xdr:cNvPr id="10115139" name="Text Box 452"/>
        <xdr:cNvSpPr txBox="1">
          <a:spLocks noChangeArrowheads="1"/>
        </xdr:cNvSpPr>
      </xdr:nvSpPr>
      <xdr:spPr bwMode="auto">
        <a:xfrm>
          <a:off x="1493520" y="28879800"/>
          <a:ext cx="1958340" cy="670560"/>
        </a:xfrm>
        <a:prstGeom prst="rect">
          <a:avLst/>
        </a:prstGeom>
        <a:noFill/>
        <a:ln w="9525">
          <a:noFill/>
          <a:miter lim="800000"/>
          <a:headEnd/>
          <a:tailEnd/>
        </a:ln>
      </xdr:spPr>
    </xdr:sp>
    <xdr:clientData/>
  </xdr:twoCellAnchor>
  <xdr:twoCellAnchor editAs="oneCell">
    <xdr:from>
      <xdr:col>9</xdr:col>
      <xdr:colOff>312420</xdr:colOff>
      <xdr:row>214</xdr:row>
      <xdr:rowOff>0</xdr:rowOff>
    </xdr:from>
    <xdr:to>
      <xdr:col>10</xdr:col>
      <xdr:colOff>426720</xdr:colOff>
      <xdr:row>234</xdr:row>
      <xdr:rowOff>30480</xdr:rowOff>
    </xdr:to>
    <xdr:sp macro="" textlink="">
      <xdr:nvSpPr>
        <xdr:cNvPr id="10115140" name="Text Box 2"/>
        <xdr:cNvSpPr txBox="1">
          <a:spLocks noChangeArrowheads="1"/>
        </xdr:cNvSpPr>
      </xdr:nvSpPr>
      <xdr:spPr bwMode="auto">
        <a:xfrm>
          <a:off x="5722620" y="31150560"/>
          <a:ext cx="769620" cy="2933700"/>
        </a:xfrm>
        <a:prstGeom prst="rect">
          <a:avLst/>
        </a:prstGeom>
        <a:noFill/>
        <a:ln w="9525">
          <a:noFill/>
          <a:miter lim="800000"/>
          <a:headEnd/>
          <a:tailEnd/>
        </a:ln>
      </xdr:spPr>
    </xdr:sp>
    <xdr:clientData/>
  </xdr:twoCellAnchor>
  <xdr:twoCellAnchor editAs="oneCell">
    <xdr:from>
      <xdr:col>8</xdr:col>
      <xdr:colOff>0</xdr:colOff>
      <xdr:row>214</xdr:row>
      <xdr:rowOff>0</xdr:rowOff>
    </xdr:from>
    <xdr:to>
      <xdr:col>10</xdr:col>
      <xdr:colOff>342900</xdr:colOff>
      <xdr:row>217</xdr:row>
      <xdr:rowOff>76200</xdr:rowOff>
    </xdr:to>
    <xdr:sp macro="" textlink="">
      <xdr:nvSpPr>
        <xdr:cNvPr id="10115141" name="Text Box 3"/>
        <xdr:cNvSpPr txBox="1">
          <a:spLocks noChangeArrowheads="1"/>
        </xdr:cNvSpPr>
      </xdr:nvSpPr>
      <xdr:spPr bwMode="auto">
        <a:xfrm>
          <a:off x="4754880" y="31150560"/>
          <a:ext cx="1653540" cy="518160"/>
        </a:xfrm>
        <a:prstGeom prst="rect">
          <a:avLst/>
        </a:prstGeom>
        <a:noFill/>
        <a:ln w="9525">
          <a:noFill/>
          <a:miter lim="800000"/>
          <a:headEnd/>
          <a:tailEnd/>
        </a:ln>
      </xdr:spPr>
    </xdr:sp>
    <xdr:clientData/>
  </xdr:twoCellAnchor>
  <xdr:twoCellAnchor editAs="oneCell">
    <xdr:from>
      <xdr:col>2</xdr:col>
      <xdr:colOff>495300</xdr:colOff>
      <xdr:row>214</xdr:row>
      <xdr:rowOff>0</xdr:rowOff>
    </xdr:from>
    <xdr:to>
      <xdr:col>6</xdr:col>
      <xdr:colOff>518160</xdr:colOff>
      <xdr:row>217</xdr:row>
      <xdr:rowOff>30480</xdr:rowOff>
    </xdr:to>
    <xdr:sp macro="" textlink="">
      <xdr:nvSpPr>
        <xdr:cNvPr id="10115142" name="Text Box 8"/>
        <xdr:cNvSpPr txBox="1">
          <a:spLocks noChangeArrowheads="1"/>
        </xdr:cNvSpPr>
      </xdr:nvSpPr>
      <xdr:spPr bwMode="auto">
        <a:xfrm>
          <a:off x="1318260" y="31150560"/>
          <a:ext cx="2644140" cy="472440"/>
        </a:xfrm>
        <a:prstGeom prst="rect">
          <a:avLst/>
        </a:prstGeom>
        <a:noFill/>
        <a:ln w="9525">
          <a:noFill/>
          <a:miter lim="800000"/>
          <a:headEnd/>
          <a:tailEnd/>
        </a:ln>
      </xdr:spPr>
    </xdr:sp>
    <xdr:clientData/>
  </xdr:twoCellAnchor>
  <xdr:twoCellAnchor>
    <xdr:from>
      <xdr:col>1</xdr:col>
      <xdr:colOff>190500</xdr:colOff>
      <xdr:row>214</xdr:row>
      <xdr:rowOff>83820</xdr:rowOff>
    </xdr:from>
    <xdr:to>
      <xdr:col>8</xdr:col>
      <xdr:colOff>586740</xdr:colOff>
      <xdr:row>237</xdr:row>
      <xdr:rowOff>99060</xdr:rowOff>
    </xdr:to>
    <xdr:graphicFrame macro="">
      <xdr:nvGraphicFramePr>
        <xdr:cNvPr id="1011514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3</xdr:col>
      <xdr:colOff>495300</xdr:colOff>
      <xdr:row>232</xdr:row>
      <xdr:rowOff>91440</xdr:rowOff>
    </xdr:from>
    <xdr:to>
      <xdr:col>6</xdr:col>
      <xdr:colOff>342900</xdr:colOff>
      <xdr:row>235</xdr:row>
      <xdr:rowOff>114300</xdr:rowOff>
    </xdr:to>
    <xdr:sp macro="" textlink="">
      <xdr:nvSpPr>
        <xdr:cNvPr id="10115144" name="Text Box 8"/>
        <xdr:cNvSpPr txBox="1">
          <a:spLocks noChangeArrowheads="1"/>
        </xdr:cNvSpPr>
      </xdr:nvSpPr>
      <xdr:spPr bwMode="auto">
        <a:xfrm>
          <a:off x="1973580" y="33855660"/>
          <a:ext cx="1813560" cy="457200"/>
        </a:xfrm>
        <a:prstGeom prst="rect">
          <a:avLst/>
        </a:prstGeom>
        <a:noFill/>
        <a:ln w="9525">
          <a:noFill/>
          <a:miter lim="800000"/>
          <a:headEnd/>
          <a:tailEnd/>
        </a:ln>
      </xdr:spPr>
    </xdr:sp>
    <xdr:clientData/>
  </xdr:twoCellAnchor>
  <xdr:oneCellAnchor>
    <xdr:from>
      <xdr:col>1</xdr:col>
      <xdr:colOff>66675</xdr:colOff>
      <xdr:row>154</xdr:row>
      <xdr:rowOff>45720</xdr:rowOff>
    </xdr:from>
    <xdr:ext cx="721069" cy="570028"/>
    <xdr:sp macro="" textlink="">
      <xdr:nvSpPr>
        <xdr:cNvPr id="27" name="TextBox 26"/>
        <xdr:cNvSpPr txBox="1"/>
      </xdr:nvSpPr>
      <xdr:spPr>
        <a:xfrm>
          <a:off x="228600" y="22471380"/>
          <a:ext cx="721069" cy="5618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900" b="1"/>
            <a:t>000,000</a:t>
          </a:r>
        </a:p>
        <a:p>
          <a:r>
            <a:rPr lang="en-US" sz="900" b="1"/>
            <a:t>tonnes</a:t>
          </a:r>
        </a:p>
        <a:p>
          <a:r>
            <a:rPr lang="en-US" sz="900" b="1"/>
            <a:t>CO2</a:t>
          </a:r>
          <a:endParaRPr lang="en-US" sz="1050" b="1"/>
        </a:p>
      </xdr:txBody>
    </xdr:sp>
    <xdr:clientData/>
  </xdr:oneCellAnchor>
</xdr:wsDr>
</file>

<file path=xl/drawings/drawing19.xml><?xml version="1.0" encoding="utf-8"?>
<c:userShapes xmlns:c="http://schemas.openxmlformats.org/drawingml/2006/chart">
  <cdr:relSizeAnchor xmlns:cdr="http://schemas.openxmlformats.org/drawingml/2006/chartDrawing">
    <cdr:from>
      <cdr:x>0.0234</cdr:x>
      <cdr:y>0.03256</cdr:y>
    </cdr:from>
    <cdr:to>
      <cdr:x>0.17888</cdr:x>
      <cdr:y>0.36686</cdr:y>
    </cdr:to>
    <cdr:sp macro="" textlink="">
      <cdr:nvSpPr>
        <cdr:cNvPr id="2" name="TextBox 1"/>
        <cdr:cNvSpPr txBox="1"/>
      </cdr:nvSpPr>
      <cdr:spPr>
        <a:xfrm xmlns:a="http://schemas.openxmlformats.org/drawingml/2006/main">
          <a:off x="104775" y="95250"/>
          <a:ext cx="676275"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2000" b="1"/>
            <a:t>2012</a:t>
          </a:r>
        </a:p>
      </cdr:txBody>
    </cdr:sp>
  </cdr:relSizeAnchor>
</c:userShapes>
</file>

<file path=xl/drawings/drawing2.xml><?xml version="1.0" encoding="utf-8"?>
<c:userShapes xmlns:c="http://schemas.openxmlformats.org/drawingml/2006/chart">
  <cdr:relSizeAnchor xmlns:cdr="http://schemas.openxmlformats.org/drawingml/2006/chartDrawing">
    <cdr:from>
      <cdr:x>0.02158</cdr:x>
      <cdr:y>0.46422</cdr:y>
    </cdr:from>
    <cdr:to>
      <cdr:x>0.0303</cdr:x>
      <cdr:y>0.51684</cdr:y>
    </cdr:to>
    <cdr:sp macro="" textlink="">
      <cdr:nvSpPr>
        <cdr:cNvPr id="4099" name="Text Box 3"/>
        <cdr:cNvSpPr txBox="1">
          <a:spLocks xmlns:a="http://schemas.openxmlformats.org/drawingml/2006/main" noChangeArrowheads="1"/>
        </cdr:cNvSpPr>
      </cdr:nvSpPr>
      <cdr:spPr bwMode="auto">
        <a:xfrm xmlns:a="http://schemas.openxmlformats.org/drawingml/2006/main">
          <a:off x="203419" y="2216366"/>
          <a:ext cx="94479" cy="26710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0.02853</cdr:x>
      <cdr:y>0.47209</cdr:y>
    </cdr:from>
    <cdr:to>
      <cdr:x>0.49668</cdr:x>
      <cdr:y>0.58436</cdr:y>
    </cdr:to>
    <cdr:sp macro="" textlink="">
      <cdr:nvSpPr>
        <cdr:cNvPr id="4100" name="Text Box 4"/>
        <cdr:cNvSpPr txBox="1">
          <a:spLocks xmlns:a="http://schemas.openxmlformats.org/drawingml/2006/main" noChangeArrowheads="1"/>
        </cdr:cNvSpPr>
      </cdr:nvSpPr>
      <cdr:spPr bwMode="auto">
        <a:xfrm xmlns:a="http://schemas.openxmlformats.org/drawingml/2006/main">
          <a:off x="270644" y="2258288"/>
          <a:ext cx="3819111" cy="56175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en-US"/>
        </a:p>
      </cdr:txBody>
    </cdr:sp>
  </cdr:relSizeAnchor>
</c:userShapes>
</file>

<file path=xl/drawings/drawing20.xml><?xml version="1.0" encoding="utf-8"?>
<c:userShapes xmlns:c="http://schemas.openxmlformats.org/drawingml/2006/chart">
  <cdr:relSizeAnchor xmlns:cdr="http://schemas.openxmlformats.org/drawingml/2006/chartDrawing">
    <cdr:from>
      <cdr:x>0.02268</cdr:x>
      <cdr:y>0.04216</cdr:y>
    </cdr:from>
    <cdr:to>
      <cdr:x>0.17693</cdr:x>
      <cdr:y>0.46267</cdr:y>
    </cdr:to>
    <cdr:sp macro="" textlink="">
      <cdr:nvSpPr>
        <cdr:cNvPr id="2" name="TextBox 1"/>
        <cdr:cNvSpPr txBox="1"/>
      </cdr:nvSpPr>
      <cdr:spPr>
        <a:xfrm xmlns:a="http://schemas.openxmlformats.org/drawingml/2006/main">
          <a:off x="104790" y="95244"/>
          <a:ext cx="676245" cy="114300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2000" b="1"/>
            <a:t>2023</a:t>
          </a:r>
        </a:p>
        <a:p xmlns:a="http://schemas.openxmlformats.org/drawingml/2006/main">
          <a:r>
            <a:rPr lang="en-US" sz="2000" b="1"/>
            <a:t>No</a:t>
          </a:r>
        </a:p>
        <a:p xmlns:a="http://schemas.openxmlformats.org/drawingml/2006/main">
          <a:r>
            <a:rPr lang="en-US" sz="2000" b="1"/>
            <a:t>Tax</a:t>
          </a:r>
        </a:p>
      </cdr:txBody>
    </cdr:sp>
  </cdr:relSizeAnchor>
</c:userShapes>
</file>

<file path=xl/drawings/drawing21.xml><?xml version="1.0" encoding="utf-8"?>
<c:userShapes xmlns:c="http://schemas.openxmlformats.org/drawingml/2006/chart">
  <cdr:relSizeAnchor xmlns:cdr="http://schemas.openxmlformats.org/drawingml/2006/chartDrawing">
    <cdr:from>
      <cdr:x>0.02295</cdr:x>
      <cdr:y>0.04336</cdr:y>
    </cdr:from>
    <cdr:to>
      <cdr:x>0.17962</cdr:x>
      <cdr:y>0.47081</cdr:y>
    </cdr:to>
    <cdr:sp macro="" textlink="">
      <cdr:nvSpPr>
        <cdr:cNvPr id="2" name="TextBox 1"/>
        <cdr:cNvSpPr txBox="1"/>
      </cdr:nvSpPr>
      <cdr:spPr>
        <a:xfrm xmlns:a="http://schemas.openxmlformats.org/drawingml/2006/main">
          <a:off x="104790" y="95244"/>
          <a:ext cx="676245" cy="116205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2000" b="1"/>
            <a:t>2023</a:t>
          </a:r>
        </a:p>
        <a:p xmlns:a="http://schemas.openxmlformats.org/drawingml/2006/main">
          <a:r>
            <a:rPr lang="en-US" sz="2000" b="1"/>
            <a:t>Tax</a:t>
          </a:r>
        </a:p>
        <a:p xmlns:a="http://schemas.openxmlformats.org/drawingml/2006/main">
          <a:r>
            <a:rPr lang="en-US" sz="2000" b="1"/>
            <a:t>#1</a:t>
          </a:r>
        </a:p>
      </cdr:txBody>
    </cdr:sp>
  </cdr:relSizeAnchor>
</c:userShapes>
</file>

<file path=xl/drawings/drawing22.xml><?xml version="1.0" encoding="utf-8"?>
<c:userShapes xmlns:c="http://schemas.openxmlformats.org/drawingml/2006/chart">
  <cdr:relSizeAnchor xmlns:cdr="http://schemas.openxmlformats.org/drawingml/2006/chartDrawing">
    <cdr:from>
      <cdr:x>0.02076</cdr:x>
      <cdr:y>0.03496</cdr:y>
    </cdr:from>
    <cdr:to>
      <cdr:x>0.16751</cdr:x>
      <cdr:y>0.46241</cdr:y>
    </cdr:to>
    <cdr:sp macro="" textlink="">
      <cdr:nvSpPr>
        <cdr:cNvPr id="2" name="TextBox 1"/>
        <cdr:cNvSpPr txBox="1"/>
      </cdr:nvSpPr>
      <cdr:spPr>
        <a:xfrm xmlns:a="http://schemas.openxmlformats.org/drawingml/2006/main">
          <a:off x="104790" y="95244"/>
          <a:ext cx="676245" cy="116205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2000" b="1"/>
            <a:t>2023</a:t>
          </a:r>
        </a:p>
        <a:p xmlns:a="http://schemas.openxmlformats.org/drawingml/2006/main">
          <a:r>
            <a:rPr lang="en-US" sz="2000" b="1"/>
            <a:t>Tax</a:t>
          </a:r>
        </a:p>
        <a:p xmlns:a="http://schemas.openxmlformats.org/drawingml/2006/main">
          <a:r>
            <a:rPr lang="en-US" sz="2000" b="1"/>
            <a:t>#2</a:t>
          </a:r>
        </a:p>
      </cdr:txBody>
    </cdr:sp>
  </cdr:relSizeAnchor>
</c:userShapes>
</file>

<file path=xl/drawings/drawing23.xml><?xml version="1.0" encoding="utf-8"?>
<c:userShapes xmlns:c="http://schemas.openxmlformats.org/drawingml/2006/chart">
  <cdr:relSizeAnchor xmlns:cdr="http://schemas.openxmlformats.org/drawingml/2006/chartDrawing">
    <cdr:from>
      <cdr:x>0.12245</cdr:x>
      <cdr:y>0.40175</cdr:y>
    </cdr:from>
    <cdr:to>
      <cdr:x>0.26363</cdr:x>
      <cdr:y>0.52403</cdr:y>
    </cdr:to>
    <cdr:sp macro="" textlink="">
      <cdr:nvSpPr>
        <cdr:cNvPr id="2" name="TextBox 1"/>
        <cdr:cNvSpPr txBox="1"/>
      </cdr:nvSpPr>
      <cdr:spPr>
        <a:xfrm xmlns:a="http://schemas.openxmlformats.org/drawingml/2006/main">
          <a:off x="857264" y="1866901"/>
          <a:ext cx="923903" cy="5715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a:p>
      </cdr:txBody>
    </cdr:sp>
  </cdr:relSizeAnchor>
  <cdr:relSizeAnchor xmlns:cdr="http://schemas.openxmlformats.org/drawingml/2006/chartDrawing">
    <cdr:from>
      <cdr:x>0.72322</cdr:x>
      <cdr:y>0.25747</cdr:y>
    </cdr:from>
    <cdr:to>
      <cdr:x>0.92398</cdr:x>
      <cdr:y>0.34296</cdr:y>
    </cdr:to>
    <cdr:sp macro="" textlink="">
      <cdr:nvSpPr>
        <cdr:cNvPr id="7" name="TextBox 6"/>
        <cdr:cNvSpPr txBox="1"/>
      </cdr:nvSpPr>
      <cdr:spPr>
        <a:xfrm xmlns:a="http://schemas.openxmlformats.org/drawingml/2006/main">
          <a:off x="6360335" y="1600199"/>
          <a:ext cx="1793915" cy="53929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a:p>
      </cdr:txBody>
    </cdr:sp>
  </cdr:relSizeAnchor>
  <cdr:relSizeAnchor xmlns:cdr="http://schemas.openxmlformats.org/drawingml/2006/chartDrawing">
    <cdr:from>
      <cdr:x>0.72983</cdr:x>
      <cdr:y>0.27824</cdr:y>
    </cdr:from>
    <cdr:to>
      <cdr:x>0.89177</cdr:x>
      <cdr:y>0.33673</cdr:y>
    </cdr:to>
    <cdr:sp macro="" textlink="">
      <cdr:nvSpPr>
        <cdr:cNvPr id="9" name="TextBox 8"/>
        <cdr:cNvSpPr txBox="1"/>
      </cdr:nvSpPr>
      <cdr:spPr>
        <a:xfrm xmlns:a="http://schemas.openxmlformats.org/drawingml/2006/main">
          <a:off x="6381750" y="1514475"/>
          <a:ext cx="1419225"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a:p>
      </cdr:txBody>
    </cdr:sp>
  </cdr:relSizeAnchor>
  <cdr:relSizeAnchor xmlns:cdr="http://schemas.openxmlformats.org/drawingml/2006/chartDrawing">
    <cdr:from>
      <cdr:x>0.41218</cdr:x>
      <cdr:y>0.01792</cdr:y>
    </cdr:from>
    <cdr:to>
      <cdr:x>0.7718</cdr:x>
      <cdr:y>0.10651</cdr:y>
    </cdr:to>
    <cdr:sp macro="" textlink="">
      <cdr:nvSpPr>
        <cdr:cNvPr id="8" name="TextBox 7"/>
        <cdr:cNvSpPr txBox="1"/>
      </cdr:nvSpPr>
      <cdr:spPr>
        <a:xfrm xmlns:a="http://schemas.openxmlformats.org/drawingml/2006/main">
          <a:off x="3695701" y="103949"/>
          <a:ext cx="3165064" cy="51957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a:p>
      </cdr:txBody>
    </cdr:sp>
  </cdr:relSizeAnchor>
  <cdr:relSizeAnchor xmlns:cdr="http://schemas.openxmlformats.org/drawingml/2006/chartDrawing">
    <cdr:from>
      <cdr:x>0.00024</cdr:x>
      <cdr:y>0.00169</cdr:y>
    </cdr:from>
    <cdr:to>
      <cdr:x>0.00024</cdr:x>
      <cdr:y>0.00169</cdr:y>
    </cdr:to>
    <cdr:sp macro="" textlink="">
      <cdr:nvSpPr>
        <cdr:cNvPr id="11" name="TextBox 42"/>
        <cdr:cNvSpPr txBox="1"/>
      </cdr:nvSpPr>
      <cdr:spPr>
        <a:xfrm xmlns:a="http://schemas.openxmlformats.org/drawingml/2006/main" flipV="1">
          <a:off x="-236220" y="-2004060"/>
          <a:ext cx="0" cy="0"/>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548640" rtlCol="0" anchor="t"/>
        <a:lstStyle xmlns:a="http://schemas.openxmlformats.org/drawingml/2006/main"/>
        <a:p xmlns:a="http://schemas.openxmlformats.org/drawingml/2006/main">
          <a:endParaRPr lang="en-US"/>
        </a:p>
      </cdr:txBody>
    </cdr:sp>
  </cdr:relSizeAnchor>
  <cdr:relSizeAnchor xmlns:cdr="http://schemas.openxmlformats.org/drawingml/2006/chartDrawing">
    <cdr:from>
      <cdr:x>0.31947</cdr:x>
      <cdr:y>0.21799</cdr:y>
    </cdr:from>
    <cdr:to>
      <cdr:x>0.42367</cdr:x>
      <cdr:y>0.30606</cdr:y>
    </cdr:to>
    <cdr:sp macro="" textlink="">
      <cdr:nvSpPr>
        <cdr:cNvPr id="10" name="TextBox 9"/>
        <cdr:cNvSpPr txBox="1"/>
      </cdr:nvSpPr>
      <cdr:spPr>
        <a:xfrm xmlns:a="http://schemas.openxmlformats.org/drawingml/2006/main">
          <a:off x="1590675" y="666749"/>
          <a:ext cx="504825" cy="2762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b="1"/>
            <a:t>24,000</a:t>
          </a:r>
        </a:p>
      </cdr:txBody>
    </cdr:sp>
  </cdr:relSizeAnchor>
  <cdr:relSizeAnchor xmlns:cdr="http://schemas.openxmlformats.org/drawingml/2006/chartDrawing">
    <cdr:from>
      <cdr:x>0.4748</cdr:x>
      <cdr:y>0.42525</cdr:y>
    </cdr:from>
    <cdr:to>
      <cdr:x>0.67396</cdr:x>
      <cdr:y>0.51736</cdr:y>
    </cdr:to>
    <cdr:sp macro="" textlink="">
      <cdr:nvSpPr>
        <cdr:cNvPr id="12" name="TextBox 11"/>
        <cdr:cNvSpPr txBox="1"/>
      </cdr:nvSpPr>
      <cdr:spPr>
        <a:xfrm xmlns:a="http://schemas.openxmlformats.org/drawingml/2006/main">
          <a:off x="2343150" y="1314449"/>
          <a:ext cx="954901" cy="28575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b="1"/>
            <a:t>114,000</a:t>
          </a:r>
        </a:p>
      </cdr:txBody>
    </cdr:sp>
  </cdr:relSizeAnchor>
  <cdr:relSizeAnchor xmlns:cdr="http://schemas.openxmlformats.org/drawingml/2006/chartDrawing">
    <cdr:from>
      <cdr:x>0.65844</cdr:x>
      <cdr:y>0.41053</cdr:y>
    </cdr:from>
    <cdr:to>
      <cdr:x>0.84629</cdr:x>
      <cdr:y>0.48979</cdr:y>
    </cdr:to>
    <cdr:sp macro="" textlink="">
      <cdr:nvSpPr>
        <cdr:cNvPr id="13" name="TextBox 12"/>
        <cdr:cNvSpPr txBox="1"/>
      </cdr:nvSpPr>
      <cdr:spPr>
        <a:xfrm xmlns:a="http://schemas.openxmlformats.org/drawingml/2006/main">
          <a:off x="3228975" y="1266824"/>
          <a:ext cx="913698" cy="24765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b="1"/>
            <a:t>38,000</a:t>
          </a:r>
        </a:p>
      </cdr:txBody>
    </cdr:sp>
  </cdr:relSizeAnchor>
  <cdr:relSizeAnchor xmlns:cdr="http://schemas.openxmlformats.org/drawingml/2006/chartDrawing">
    <cdr:from>
      <cdr:x>0.45609</cdr:x>
      <cdr:y>0.2054</cdr:y>
    </cdr:from>
    <cdr:to>
      <cdr:x>0.77927</cdr:x>
      <cdr:y>0.3184</cdr:y>
    </cdr:to>
    <cdr:sp macro="" textlink="">
      <cdr:nvSpPr>
        <cdr:cNvPr id="14" name="TextBox 13"/>
        <cdr:cNvSpPr txBox="1"/>
      </cdr:nvSpPr>
      <cdr:spPr>
        <a:xfrm xmlns:a="http://schemas.openxmlformats.org/drawingml/2006/main">
          <a:off x="2667001" y="628650"/>
          <a:ext cx="1838324" cy="3524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b="1"/>
            <a:t>Additional</a:t>
          </a:r>
          <a:r>
            <a:rPr lang="en-US" sz="1100" b="1" baseline="0"/>
            <a:t> 3-MW Turbines</a:t>
          </a:r>
          <a:endParaRPr lang="en-US" sz="1100" b="1"/>
        </a:p>
      </cdr:txBody>
    </cdr:sp>
  </cdr:relSizeAnchor>
</c:userShapes>
</file>

<file path=xl/drawings/drawing24.xml><?xml version="1.0" encoding="utf-8"?>
<c:userShapes xmlns:c="http://schemas.openxmlformats.org/drawingml/2006/chart">
  <cdr:relSizeAnchor xmlns:cdr="http://schemas.openxmlformats.org/drawingml/2006/chartDrawing">
    <cdr:from>
      <cdr:x>0.15813</cdr:x>
      <cdr:y>0.04862</cdr:y>
    </cdr:from>
    <cdr:to>
      <cdr:x>0.33738</cdr:x>
      <cdr:y>0.41874</cdr:y>
    </cdr:to>
    <cdr:sp macro="" textlink="">
      <cdr:nvSpPr>
        <cdr:cNvPr id="2" name="TextBox 1"/>
        <cdr:cNvSpPr txBox="1"/>
      </cdr:nvSpPr>
      <cdr:spPr>
        <a:xfrm xmlns:a="http://schemas.openxmlformats.org/drawingml/2006/main">
          <a:off x="863600" y="194734"/>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a:p>
      </cdr:txBody>
    </cdr:sp>
  </cdr:relSizeAnchor>
  <cdr:relSizeAnchor xmlns:cdr="http://schemas.openxmlformats.org/drawingml/2006/chartDrawing">
    <cdr:from>
      <cdr:x>0.41311</cdr:x>
      <cdr:y>0.93553</cdr:y>
    </cdr:from>
    <cdr:to>
      <cdr:x>0.69751</cdr:x>
      <cdr:y>0.98436</cdr:y>
    </cdr:to>
    <cdr:sp macro="" textlink="">
      <cdr:nvSpPr>
        <cdr:cNvPr id="3" name="TextBox 2"/>
        <cdr:cNvSpPr txBox="1"/>
      </cdr:nvSpPr>
      <cdr:spPr>
        <a:xfrm xmlns:a="http://schemas.openxmlformats.org/drawingml/2006/main" flipH="1">
          <a:off x="1033326" y="2938113"/>
          <a:ext cx="700880" cy="15972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800" b="1"/>
            <a:t>Carbon Tax Center,</a:t>
          </a:r>
          <a:r>
            <a:rPr lang="en-US" sz="800" b="1" baseline="0"/>
            <a:t> May</a:t>
          </a:r>
          <a:r>
            <a:rPr lang="en-US" sz="800" b="1"/>
            <a:t> 2013.</a:t>
          </a:r>
        </a:p>
      </cdr:txBody>
    </cdr:sp>
  </cdr:relSizeAnchor>
  <cdr:relSizeAnchor xmlns:cdr="http://schemas.openxmlformats.org/drawingml/2006/chartDrawing">
    <cdr:from>
      <cdr:x>0.47487</cdr:x>
      <cdr:y>0.33208</cdr:y>
    </cdr:from>
    <cdr:to>
      <cdr:x>0.63093</cdr:x>
      <cdr:y>0.57618</cdr:y>
    </cdr:to>
    <cdr:sp macro="" textlink="">
      <cdr:nvSpPr>
        <cdr:cNvPr id="4" name="TextBox 3"/>
        <cdr:cNvSpPr txBox="1"/>
      </cdr:nvSpPr>
      <cdr:spPr>
        <a:xfrm xmlns:a="http://schemas.openxmlformats.org/drawingml/2006/main">
          <a:off x="2638425" y="828675"/>
          <a:ext cx="914400" cy="8667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a:p>
      </cdr:txBody>
    </cdr:sp>
  </cdr:relSizeAnchor>
  <cdr:relSizeAnchor xmlns:cdr="http://schemas.openxmlformats.org/drawingml/2006/chartDrawing">
    <cdr:from>
      <cdr:x>0.51969</cdr:x>
      <cdr:y>0.33851</cdr:y>
    </cdr:from>
    <cdr:to>
      <cdr:x>0.93582</cdr:x>
      <cdr:y>0.50529</cdr:y>
    </cdr:to>
    <cdr:sp macro="" textlink="">
      <cdr:nvSpPr>
        <cdr:cNvPr id="5" name="TextBox 4"/>
        <cdr:cNvSpPr txBox="1"/>
      </cdr:nvSpPr>
      <cdr:spPr>
        <a:xfrm xmlns:a="http://schemas.openxmlformats.org/drawingml/2006/main">
          <a:off x="2886074" y="838200"/>
          <a:ext cx="2486025" cy="56197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a:p>
      </cdr:txBody>
    </cdr:sp>
  </cdr:relSizeAnchor>
  <cdr:relSizeAnchor xmlns:cdr="http://schemas.openxmlformats.org/drawingml/2006/chartDrawing">
    <cdr:from>
      <cdr:x>0.00243</cdr:x>
      <cdr:y>0.88312</cdr:y>
    </cdr:from>
    <cdr:to>
      <cdr:x>0.00243</cdr:x>
      <cdr:y>0.89111</cdr:y>
    </cdr:to>
    <cdr:sp macro="" textlink="">
      <cdr:nvSpPr>
        <cdr:cNvPr id="6" name="TextBox 5"/>
        <cdr:cNvSpPr txBox="1"/>
      </cdr:nvSpPr>
      <cdr:spPr>
        <a:xfrm xmlns:a="http://schemas.openxmlformats.org/drawingml/2006/main">
          <a:off x="19050" y="2657475"/>
          <a:ext cx="1028700" cy="7429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a:p>
      </cdr:txBody>
    </cdr:sp>
  </cdr:relSizeAnchor>
  <cdr:relSizeAnchor xmlns:cdr="http://schemas.openxmlformats.org/drawingml/2006/chartDrawing">
    <cdr:from>
      <cdr:x>0.00243</cdr:x>
      <cdr:y>0.89615</cdr:y>
    </cdr:from>
    <cdr:to>
      <cdr:x>0.00243</cdr:x>
      <cdr:y>0.90364</cdr:y>
    </cdr:to>
    <cdr:sp macro="" textlink="">
      <cdr:nvSpPr>
        <cdr:cNvPr id="7" name="TextBox 6"/>
        <cdr:cNvSpPr txBox="1"/>
      </cdr:nvSpPr>
      <cdr:spPr>
        <a:xfrm xmlns:a="http://schemas.openxmlformats.org/drawingml/2006/main">
          <a:off x="1" y="2705099"/>
          <a:ext cx="628650" cy="6953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a:p>
      </cdr:txBody>
    </cdr:sp>
  </cdr:relSizeAnchor>
  <cdr:relSizeAnchor xmlns:cdr="http://schemas.openxmlformats.org/drawingml/2006/chartDrawing">
    <cdr:from>
      <cdr:x>0.00243</cdr:x>
      <cdr:y>0.78867</cdr:y>
    </cdr:from>
    <cdr:to>
      <cdr:x>0.00243</cdr:x>
      <cdr:y>0.79084</cdr:y>
    </cdr:to>
    <cdr:sp macro="" textlink="">
      <cdr:nvSpPr>
        <cdr:cNvPr id="8" name="TextBox 7"/>
        <cdr:cNvSpPr txBox="1"/>
      </cdr:nvSpPr>
      <cdr:spPr>
        <a:xfrm xmlns:a="http://schemas.openxmlformats.org/drawingml/2006/main">
          <a:off x="3803" y="2468371"/>
          <a:ext cx="605798" cy="70345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b="1"/>
            <a:t>000,000</a:t>
          </a:r>
        </a:p>
        <a:p xmlns:a="http://schemas.openxmlformats.org/drawingml/2006/main">
          <a:r>
            <a:rPr lang="en-US" sz="1100" b="1"/>
            <a:t>tonnes</a:t>
          </a:r>
        </a:p>
        <a:p xmlns:a="http://schemas.openxmlformats.org/drawingml/2006/main">
          <a:r>
            <a:rPr lang="en-US" sz="1100" b="1"/>
            <a:t>CO2</a:t>
          </a:r>
        </a:p>
      </cdr:txBody>
    </cdr:sp>
  </cdr:relSizeAnchor>
  <cdr:relSizeAnchor xmlns:cdr="http://schemas.openxmlformats.org/drawingml/2006/chartDrawing">
    <cdr:from>
      <cdr:x>0.41416</cdr:x>
      <cdr:y>0.43982</cdr:y>
    </cdr:from>
    <cdr:to>
      <cdr:x>0.56451</cdr:x>
      <cdr:y>0.63471</cdr:y>
    </cdr:to>
    <cdr:sp macro="" textlink="">
      <cdr:nvSpPr>
        <cdr:cNvPr id="9" name="TextBox 8"/>
        <cdr:cNvSpPr txBox="1"/>
      </cdr:nvSpPr>
      <cdr:spPr>
        <a:xfrm xmlns:a="http://schemas.openxmlformats.org/drawingml/2006/main">
          <a:off x="2468880" y="135636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a:p>
      </cdr:txBody>
    </cdr:sp>
  </cdr:relSizeAnchor>
</c:userShapes>
</file>

<file path=xl/drawings/drawing25.xml><?xml version="1.0" encoding="utf-8"?>
<c:userShapes xmlns:c="http://schemas.openxmlformats.org/drawingml/2006/chart">
  <cdr:relSizeAnchor xmlns:cdr="http://schemas.openxmlformats.org/drawingml/2006/chartDrawing">
    <cdr:from>
      <cdr:x>0.12943</cdr:x>
      <cdr:y>0.40202</cdr:y>
    </cdr:from>
    <cdr:to>
      <cdr:x>0.27227</cdr:x>
      <cdr:y>0.52427</cdr:y>
    </cdr:to>
    <cdr:sp macro="" textlink="">
      <cdr:nvSpPr>
        <cdr:cNvPr id="2" name="TextBox 1"/>
        <cdr:cNvSpPr txBox="1"/>
      </cdr:nvSpPr>
      <cdr:spPr>
        <a:xfrm xmlns:a="http://schemas.openxmlformats.org/drawingml/2006/main">
          <a:off x="857264" y="1866901"/>
          <a:ext cx="923903" cy="5715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a:p>
      </cdr:txBody>
    </cdr:sp>
  </cdr:relSizeAnchor>
  <cdr:relSizeAnchor xmlns:cdr="http://schemas.openxmlformats.org/drawingml/2006/chartDrawing">
    <cdr:from>
      <cdr:x>0.7198</cdr:x>
      <cdr:y>0.25651</cdr:y>
    </cdr:from>
    <cdr:to>
      <cdr:x>0.92113</cdr:x>
      <cdr:y>0.34223</cdr:y>
    </cdr:to>
    <cdr:sp macro="" textlink="">
      <cdr:nvSpPr>
        <cdr:cNvPr id="7" name="TextBox 6"/>
        <cdr:cNvSpPr txBox="1"/>
      </cdr:nvSpPr>
      <cdr:spPr>
        <a:xfrm xmlns:a="http://schemas.openxmlformats.org/drawingml/2006/main">
          <a:off x="6360335" y="1600199"/>
          <a:ext cx="1793915" cy="53929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a:p>
      </cdr:txBody>
    </cdr:sp>
  </cdr:relSizeAnchor>
  <cdr:relSizeAnchor xmlns:cdr="http://schemas.openxmlformats.org/drawingml/2006/chartDrawing">
    <cdr:from>
      <cdr:x>0.72739</cdr:x>
      <cdr:y>0.27632</cdr:y>
    </cdr:from>
    <cdr:to>
      <cdr:x>0.88769</cdr:x>
      <cdr:y>0.33551</cdr:y>
    </cdr:to>
    <cdr:sp macro="" textlink="">
      <cdr:nvSpPr>
        <cdr:cNvPr id="9" name="TextBox 8"/>
        <cdr:cNvSpPr txBox="1"/>
      </cdr:nvSpPr>
      <cdr:spPr>
        <a:xfrm xmlns:a="http://schemas.openxmlformats.org/drawingml/2006/main">
          <a:off x="6381750" y="1514475"/>
          <a:ext cx="1419225"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a:p>
      </cdr:txBody>
    </cdr:sp>
  </cdr:relSizeAnchor>
  <cdr:relSizeAnchor xmlns:cdr="http://schemas.openxmlformats.org/drawingml/2006/chartDrawing">
    <cdr:from>
      <cdr:x>0.41503</cdr:x>
      <cdr:y>0.01792</cdr:y>
    </cdr:from>
    <cdr:to>
      <cdr:x>0.76742</cdr:x>
      <cdr:y>0.10583</cdr:y>
    </cdr:to>
    <cdr:sp macro="" textlink="">
      <cdr:nvSpPr>
        <cdr:cNvPr id="8" name="TextBox 7"/>
        <cdr:cNvSpPr txBox="1"/>
      </cdr:nvSpPr>
      <cdr:spPr>
        <a:xfrm xmlns:a="http://schemas.openxmlformats.org/drawingml/2006/main">
          <a:off x="3695701" y="103949"/>
          <a:ext cx="3165064" cy="51957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a:p>
      </cdr:txBody>
    </cdr:sp>
  </cdr:relSizeAnchor>
  <cdr:relSizeAnchor xmlns:cdr="http://schemas.openxmlformats.org/drawingml/2006/chartDrawing">
    <cdr:from>
      <cdr:x>0</cdr:x>
      <cdr:y>0</cdr:y>
    </cdr:from>
    <cdr:to>
      <cdr:x>0</cdr:x>
      <cdr:y>0</cdr:y>
    </cdr:to>
    <cdr:sp macro="" textlink="">
      <cdr:nvSpPr>
        <cdr:cNvPr id="11" name="TextBox 42"/>
        <cdr:cNvSpPr txBox="1"/>
      </cdr:nvSpPr>
      <cdr:spPr>
        <a:xfrm xmlns:a="http://schemas.openxmlformats.org/drawingml/2006/main" flipV="1">
          <a:off x="-236220" y="-2004060"/>
          <a:ext cx="0" cy="0"/>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548640" rtlCol="0" anchor="t"/>
        <a:lstStyle xmlns:a="http://schemas.openxmlformats.org/drawingml/2006/main"/>
        <a:p xmlns:a="http://schemas.openxmlformats.org/drawingml/2006/main">
          <a:endParaRPr lang="en-US"/>
        </a:p>
      </cdr:txBody>
    </cdr:sp>
  </cdr:relSizeAnchor>
  <cdr:relSizeAnchor xmlns:cdr="http://schemas.openxmlformats.org/drawingml/2006/chartDrawing">
    <cdr:from>
      <cdr:x>0.32547</cdr:x>
      <cdr:y>0.21632</cdr:y>
    </cdr:from>
    <cdr:to>
      <cdr:x>0.4275</cdr:x>
      <cdr:y>0.30486</cdr:y>
    </cdr:to>
    <cdr:sp macro="" textlink="">
      <cdr:nvSpPr>
        <cdr:cNvPr id="10" name="TextBox 9"/>
        <cdr:cNvSpPr txBox="1"/>
      </cdr:nvSpPr>
      <cdr:spPr>
        <a:xfrm xmlns:a="http://schemas.openxmlformats.org/drawingml/2006/main">
          <a:off x="1590675" y="666749"/>
          <a:ext cx="504825" cy="2762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a:p>
      </cdr:txBody>
    </cdr:sp>
  </cdr:relSizeAnchor>
  <cdr:relSizeAnchor xmlns:cdr="http://schemas.openxmlformats.org/drawingml/2006/chartDrawing">
    <cdr:from>
      <cdr:x>0.47956</cdr:x>
      <cdr:y>0.42474</cdr:y>
    </cdr:from>
    <cdr:to>
      <cdr:x>0.67127</cdr:x>
      <cdr:y>0.51712</cdr:y>
    </cdr:to>
    <cdr:sp macro="" textlink="">
      <cdr:nvSpPr>
        <cdr:cNvPr id="12" name="TextBox 11"/>
        <cdr:cNvSpPr txBox="1"/>
      </cdr:nvSpPr>
      <cdr:spPr>
        <a:xfrm xmlns:a="http://schemas.openxmlformats.org/drawingml/2006/main">
          <a:off x="2343150" y="1314449"/>
          <a:ext cx="954901" cy="28575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a:p>
      </cdr:txBody>
    </cdr:sp>
  </cdr:relSizeAnchor>
  <cdr:relSizeAnchor xmlns:cdr="http://schemas.openxmlformats.org/drawingml/2006/chartDrawing">
    <cdr:from>
      <cdr:x>0.65818</cdr:x>
      <cdr:y>0.40955</cdr:y>
    </cdr:from>
    <cdr:to>
      <cdr:x>0.84147</cdr:x>
      <cdr:y>0.48958</cdr:y>
    </cdr:to>
    <cdr:sp macro="" textlink="">
      <cdr:nvSpPr>
        <cdr:cNvPr id="13" name="TextBox 12"/>
        <cdr:cNvSpPr txBox="1"/>
      </cdr:nvSpPr>
      <cdr:spPr>
        <a:xfrm xmlns:a="http://schemas.openxmlformats.org/drawingml/2006/main">
          <a:off x="3228975" y="1266824"/>
          <a:ext cx="913698" cy="24765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a:p>
      </cdr:txBody>
    </cdr:sp>
  </cdr:relSizeAnchor>
</c:userShapes>
</file>

<file path=xl/drawings/drawing26.xml><?xml version="1.0" encoding="utf-8"?>
<c:userShapes xmlns:c="http://schemas.openxmlformats.org/drawingml/2006/chart">
  <cdr:relSizeAnchor xmlns:cdr="http://schemas.openxmlformats.org/drawingml/2006/chartDrawing">
    <cdr:from>
      <cdr:x>0.02594</cdr:x>
      <cdr:y>0.48337</cdr:y>
    </cdr:from>
    <cdr:to>
      <cdr:x>0.0373</cdr:x>
      <cdr:y>0.53747</cdr:y>
    </cdr:to>
    <cdr:sp macro="" textlink="">
      <cdr:nvSpPr>
        <cdr:cNvPr id="4099" name="Text Box 3"/>
        <cdr:cNvSpPr txBox="1">
          <a:spLocks xmlns:a="http://schemas.openxmlformats.org/drawingml/2006/main" noChangeArrowheads="1"/>
        </cdr:cNvSpPr>
      </cdr:nvSpPr>
      <cdr:spPr bwMode="auto">
        <a:xfrm xmlns:a="http://schemas.openxmlformats.org/drawingml/2006/main">
          <a:off x="203419" y="2216366"/>
          <a:ext cx="94479" cy="26710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0.03581</cdr:x>
      <cdr:y>0.49219</cdr:y>
    </cdr:from>
    <cdr:to>
      <cdr:x>0.54872</cdr:x>
      <cdr:y>0.60146</cdr:y>
    </cdr:to>
    <cdr:sp macro="" textlink="">
      <cdr:nvSpPr>
        <cdr:cNvPr id="4100" name="Text Box 4"/>
        <cdr:cNvSpPr txBox="1">
          <a:spLocks xmlns:a="http://schemas.openxmlformats.org/drawingml/2006/main" noChangeArrowheads="1"/>
        </cdr:cNvSpPr>
      </cdr:nvSpPr>
      <cdr:spPr bwMode="auto">
        <a:xfrm xmlns:a="http://schemas.openxmlformats.org/drawingml/2006/main">
          <a:off x="270644" y="2258288"/>
          <a:ext cx="3819111" cy="56175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0.47494</cdr:x>
      <cdr:y>0.58326</cdr:y>
    </cdr:from>
    <cdr:to>
      <cdr:x>0.94754</cdr:x>
      <cdr:y>0.80221</cdr:y>
    </cdr:to>
    <cdr:sp macro="" textlink="">
      <cdr:nvSpPr>
        <cdr:cNvPr id="4" name="TextBox 3"/>
        <cdr:cNvSpPr txBox="1"/>
      </cdr:nvSpPr>
      <cdr:spPr>
        <a:xfrm xmlns:a="http://schemas.openxmlformats.org/drawingml/2006/main">
          <a:off x="3181349" y="2019300"/>
          <a:ext cx="3176464" cy="76531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400" b="1">
              <a:solidFill>
                <a:srgbClr val="FF0000"/>
              </a:solidFill>
            </a:rPr>
            <a:t>Revenue line is </a:t>
          </a:r>
          <a:r>
            <a:rPr lang="en-US" sz="1400" b="1" u="sng">
              <a:solidFill>
                <a:srgbClr val="FF0000"/>
              </a:solidFill>
            </a:rPr>
            <a:t>all</a:t>
          </a:r>
          <a:r>
            <a:rPr lang="en-US" sz="1400" b="1" u="none">
              <a:solidFill>
                <a:srgbClr val="FF0000"/>
              </a:solidFill>
            </a:rPr>
            <a:t> carbon-tax</a:t>
          </a:r>
        </a:p>
        <a:p xmlns:a="http://schemas.openxmlformats.org/drawingml/2006/main">
          <a:r>
            <a:rPr lang="en-US" sz="1400" b="1" u="none">
              <a:solidFill>
                <a:srgbClr val="FF0000"/>
              </a:solidFill>
            </a:rPr>
            <a:t>revenues,</a:t>
          </a:r>
          <a:r>
            <a:rPr lang="en-US" sz="1400" b="1" u="none" baseline="0">
              <a:solidFill>
                <a:srgbClr val="FF0000"/>
              </a:solidFill>
            </a:rPr>
            <a:t> in billions (nominal $).</a:t>
          </a:r>
          <a:endParaRPr lang="en-US" sz="1400" b="1" u="none">
            <a:solidFill>
              <a:srgbClr val="FF0000"/>
            </a:solidFill>
          </a:endParaRPr>
        </a:p>
        <a:p xmlns:a="http://schemas.openxmlformats.org/drawingml/2006/main">
          <a:endParaRPr lang="en-US" sz="1100" u="none"/>
        </a:p>
        <a:p xmlns:a="http://schemas.openxmlformats.org/drawingml/2006/main">
          <a:endParaRPr lang="en-US" sz="1100"/>
        </a:p>
      </cdr:txBody>
    </cdr:sp>
  </cdr:relSizeAnchor>
  <cdr:relSizeAnchor xmlns:cdr="http://schemas.openxmlformats.org/drawingml/2006/chartDrawing">
    <cdr:from>
      <cdr:x>0.38514</cdr:x>
      <cdr:y>0.14752</cdr:y>
    </cdr:from>
    <cdr:to>
      <cdr:x>0.89686</cdr:x>
      <cdr:y>0.37703</cdr:y>
    </cdr:to>
    <cdr:sp macro="" textlink="">
      <cdr:nvSpPr>
        <cdr:cNvPr id="5" name="TextBox 4"/>
        <cdr:cNvSpPr txBox="1"/>
      </cdr:nvSpPr>
      <cdr:spPr>
        <a:xfrm xmlns:a="http://schemas.openxmlformats.org/drawingml/2006/main">
          <a:off x="2085973" y="514752"/>
          <a:ext cx="2779447" cy="79175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400" b="1">
              <a:solidFill>
                <a:srgbClr val="0099CC"/>
              </a:solidFill>
              <a:latin typeface="+mn-lt"/>
              <a:ea typeface="+mn-ea"/>
              <a:cs typeface="+mn-cs"/>
            </a:rPr>
            <a:t>Dividend line reflects deductions</a:t>
          </a:r>
        </a:p>
        <a:p xmlns:a="http://schemas.openxmlformats.org/drawingml/2006/main">
          <a:r>
            <a:rPr lang="en-US" sz="1400" b="1">
              <a:solidFill>
                <a:srgbClr val="0099CC"/>
              </a:solidFill>
              <a:latin typeface="+mn-lt"/>
              <a:ea typeface="+mn-ea"/>
              <a:cs typeface="+mn-cs"/>
            </a:rPr>
            <a:t>(if any) for deficit reduction </a:t>
          </a:r>
        </a:p>
        <a:p xmlns:a="http://schemas.openxmlformats.org/drawingml/2006/main">
          <a:r>
            <a:rPr lang="en-US" sz="1400" b="1">
              <a:solidFill>
                <a:srgbClr val="0099CC"/>
              </a:solidFill>
              <a:latin typeface="+mn-lt"/>
              <a:ea typeface="+mn-ea"/>
              <a:cs typeface="+mn-cs"/>
            </a:rPr>
            <a:t>or other purposes.</a:t>
          </a:r>
          <a:endParaRPr lang="en-US" sz="1400">
            <a:solidFill>
              <a:srgbClr val="0099CC"/>
            </a:solidFill>
          </a:endParaRPr>
        </a:p>
        <a:p xmlns:a="http://schemas.openxmlformats.org/drawingml/2006/main">
          <a:endParaRPr lang="en-US" sz="1100"/>
        </a:p>
      </cdr:txBody>
    </cdr:sp>
  </cdr:relSizeAnchor>
</c:userShapes>
</file>

<file path=xl/drawings/drawing3.xml><?xml version="1.0" encoding="utf-8"?>
<c:userShapes xmlns:c="http://schemas.openxmlformats.org/drawingml/2006/chart">
  <cdr:relSizeAnchor xmlns:cdr="http://schemas.openxmlformats.org/drawingml/2006/chartDrawing">
    <cdr:from>
      <cdr:x>0.02646</cdr:x>
      <cdr:y>0.47617</cdr:y>
    </cdr:from>
    <cdr:to>
      <cdr:x>0.03931</cdr:x>
      <cdr:y>0.5276</cdr:y>
    </cdr:to>
    <cdr:sp macro="" textlink="">
      <cdr:nvSpPr>
        <cdr:cNvPr id="4099" name="Text Box 3"/>
        <cdr:cNvSpPr txBox="1">
          <a:spLocks xmlns:a="http://schemas.openxmlformats.org/drawingml/2006/main" noChangeArrowheads="1"/>
        </cdr:cNvSpPr>
      </cdr:nvSpPr>
      <cdr:spPr bwMode="auto">
        <a:xfrm xmlns:a="http://schemas.openxmlformats.org/drawingml/2006/main">
          <a:off x="203419" y="2216366"/>
          <a:ext cx="94479" cy="26710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0.03683</cdr:x>
      <cdr:y>0.48426</cdr:y>
    </cdr:from>
    <cdr:to>
      <cdr:x>0.55034</cdr:x>
      <cdr:y>0.5921</cdr:y>
    </cdr:to>
    <cdr:sp macro="" textlink="">
      <cdr:nvSpPr>
        <cdr:cNvPr id="4100" name="Text Box 4"/>
        <cdr:cNvSpPr txBox="1">
          <a:spLocks xmlns:a="http://schemas.openxmlformats.org/drawingml/2006/main" noChangeArrowheads="1"/>
        </cdr:cNvSpPr>
      </cdr:nvSpPr>
      <cdr:spPr bwMode="auto">
        <a:xfrm xmlns:a="http://schemas.openxmlformats.org/drawingml/2006/main">
          <a:off x="270644" y="2258288"/>
          <a:ext cx="3819111" cy="56175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0.38685</cdr:x>
      <cdr:y>0.66269</cdr:y>
    </cdr:from>
    <cdr:to>
      <cdr:x>0.94678</cdr:x>
      <cdr:y>0.86139</cdr:y>
    </cdr:to>
    <cdr:sp macro="" textlink="">
      <cdr:nvSpPr>
        <cdr:cNvPr id="4" name="TextBox 3"/>
        <cdr:cNvSpPr txBox="1"/>
      </cdr:nvSpPr>
      <cdr:spPr>
        <a:xfrm xmlns:a="http://schemas.openxmlformats.org/drawingml/2006/main">
          <a:off x="2575560" y="2712720"/>
          <a:ext cx="3604101" cy="80773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u="none"/>
        </a:p>
        <a:p xmlns:a="http://schemas.openxmlformats.org/drawingml/2006/main">
          <a:endParaRPr lang="en-US" sz="1100"/>
        </a:p>
      </cdr:txBody>
    </cdr:sp>
  </cdr:relSizeAnchor>
  <cdr:relSizeAnchor xmlns:cdr="http://schemas.openxmlformats.org/drawingml/2006/chartDrawing">
    <cdr:from>
      <cdr:x>0.43123</cdr:x>
      <cdr:y>0.22237</cdr:y>
    </cdr:from>
    <cdr:to>
      <cdr:x>0.8954</cdr:x>
      <cdr:y>0.37835</cdr:y>
    </cdr:to>
    <cdr:sp macro="" textlink="">
      <cdr:nvSpPr>
        <cdr:cNvPr id="5" name="TextBox 4"/>
        <cdr:cNvSpPr txBox="1"/>
      </cdr:nvSpPr>
      <cdr:spPr>
        <a:xfrm xmlns:a="http://schemas.openxmlformats.org/drawingml/2006/main">
          <a:off x="2857500" y="899160"/>
          <a:ext cx="2994660" cy="63246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22860</xdr:colOff>
      <xdr:row>62</xdr:row>
      <xdr:rowOff>83820</xdr:rowOff>
    </xdr:from>
    <xdr:to>
      <xdr:col>8</xdr:col>
      <xdr:colOff>723900</xdr:colOff>
      <xdr:row>84</xdr:row>
      <xdr:rowOff>160020</xdr:rowOff>
    </xdr:to>
    <xdr:graphicFrame macro="">
      <xdr:nvGraphicFramePr>
        <xdr:cNvPr id="7997518"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0.15594</cdr:x>
      <cdr:y>0.04454</cdr:y>
    </cdr:from>
    <cdr:to>
      <cdr:x>0.32764</cdr:x>
      <cdr:y>0.31839</cdr:y>
    </cdr:to>
    <cdr:sp macro="" textlink="">
      <cdr:nvSpPr>
        <cdr:cNvPr id="2" name="TextBox 1"/>
        <cdr:cNvSpPr txBox="1"/>
      </cdr:nvSpPr>
      <cdr:spPr>
        <a:xfrm xmlns:a="http://schemas.openxmlformats.org/drawingml/2006/main">
          <a:off x="863600" y="194734"/>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a:p>
      </cdr:txBody>
    </cdr:sp>
  </cdr:relSizeAnchor>
  <cdr:relSizeAnchor xmlns:cdr="http://schemas.openxmlformats.org/drawingml/2006/chartDrawing">
    <cdr:from>
      <cdr:x>0.69952</cdr:x>
      <cdr:y>0.94588</cdr:y>
    </cdr:from>
    <cdr:to>
      <cdr:x>0.98228</cdr:x>
      <cdr:y>0.99782</cdr:y>
    </cdr:to>
    <cdr:sp macro="" textlink="">
      <cdr:nvSpPr>
        <cdr:cNvPr id="3" name="TextBox 2"/>
        <cdr:cNvSpPr txBox="1"/>
      </cdr:nvSpPr>
      <cdr:spPr>
        <a:xfrm xmlns:a="http://schemas.openxmlformats.org/drawingml/2006/main" flipH="1">
          <a:off x="4659229" y="3705225"/>
          <a:ext cx="1875752" cy="21244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a:p>
      </cdr:txBody>
    </cdr:sp>
  </cdr:relSizeAnchor>
  <cdr:relSizeAnchor xmlns:cdr="http://schemas.openxmlformats.org/drawingml/2006/chartDrawing">
    <cdr:from>
      <cdr:x>0.46621</cdr:x>
      <cdr:y>0.2584</cdr:y>
    </cdr:from>
    <cdr:to>
      <cdr:x>0.62318</cdr:x>
      <cdr:y>0.5084</cdr:y>
    </cdr:to>
    <cdr:sp macro="" textlink="">
      <cdr:nvSpPr>
        <cdr:cNvPr id="4" name="TextBox 3"/>
        <cdr:cNvSpPr txBox="1"/>
      </cdr:nvSpPr>
      <cdr:spPr>
        <a:xfrm xmlns:a="http://schemas.openxmlformats.org/drawingml/2006/main">
          <a:off x="2638425" y="828675"/>
          <a:ext cx="914400" cy="8667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a:p>
      </cdr:txBody>
    </cdr:sp>
  </cdr:relSizeAnchor>
  <cdr:relSizeAnchor xmlns:cdr="http://schemas.openxmlformats.org/drawingml/2006/chartDrawing">
    <cdr:from>
      <cdr:x>0.50907</cdr:x>
      <cdr:y>0.26167</cdr:y>
    </cdr:from>
    <cdr:to>
      <cdr:x>0.93557</cdr:x>
      <cdr:y>0.42255</cdr:y>
    </cdr:to>
    <cdr:sp macro="" textlink="">
      <cdr:nvSpPr>
        <cdr:cNvPr id="5" name="TextBox 4"/>
        <cdr:cNvSpPr txBox="1"/>
      </cdr:nvSpPr>
      <cdr:spPr>
        <a:xfrm xmlns:a="http://schemas.openxmlformats.org/drawingml/2006/main">
          <a:off x="2886074" y="838200"/>
          <a:ext cx="2486025" cy="56197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a:p>
      </cdr:txBody>
    </cdr:sp>
  </cdr:relSizeAnchor>
  <cdr:relSizeAnchor xmlns:cdr="http://schemas.openxmlformats.org/drawingml/2006/chartDrawing">
    <cdr:from>
      <cdr:x>0.00074</cdr:x>
      <cdr:y>0.88057</cdr:y>
    </cdr:from>
    <cdr:to>
      <cdr:x>0.00074</cdr:x>
      <cdr:y>0.88715</cdr:y>
    </cdr:to>
    <cdr:sp macro="" textlink="">
      <cdr:nvSpPr>
        <cdr:cNvPr id="6" name="TextBox 5"/>
        <cdr:cNvSpPr txBox="1"/>
      </cdr:nvSpPr>
      <cdr:spPr>
        <a:xfrm xmlns:a="http://schemas.openxmlformats.org/drawingml/2006/main">
          <a:off x="19050" y="2657475"/>
          <a:ext cx="1028700" cy="7429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a:p>
      </cdr:txBody>
    </cdr:sp>
  </cdr:relSizeAnchor>
  <cdr:relSizeAnchor xmlns:cdr="http://schemas.openxmlformats.org/drawingml/2006/chartDrawing">
    <cdr:from>
      <cdr:x>0.00074</cdr:x>
      <cdr:y>0.89381</cdr:y>
    </cdr:from>
    <cdr:to>
      <cdr:x>0.00074</cdr:x>
      <cdr:y>0.89941</cdr:y>
    </cdr:to>
    <cdr:sp macro="" textlink="">
      <cdr:nvSpPr>
        <cdr:cNvPr id="7" name="TextBox 6"/>
        <cdr:cNvSpPr txBox="1"/>
      </cdr:nvSpPr>
      <cdr:spPr>
        <a:xfrm xmlns:a="http://schemas.openxmlformats.org/drawingml/2006/main">
          <a:off x="1" y="2705099"/>
          <a:ext cx="628650" cy="6953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a:p>
      </cdr:txBody>
    </cdr:sp>
  </cdr:relSizeAnchor>
  <cdr:relSizeAnchor xmlns:cdr="http://schemas.openxmlformats.org/drawingml/2006/chartDrawing">
    <cdr:from>
      <cdr:x>0.04881</cdr:x>
      <cdr:y>0.76071</cdr:y>
    </cdr:from>
    <cdr:to>
      <cdr:x>0.13892</cdr:x>
      <cdr:y>0.87321</cdr:y>
    </cdr:to>
    <cdr:sp macro="" textlink="">
      <cdr:nvSpPr>
        <cdr:cNvPr id="8" name="TextBox 7"/>
        <cdr:cNvSpPr txBox="1"/>
      </cdr:nvSpPr>
      <cdr:spPr>
        <a:xfrm xmlns:a="http://schemas.openxmlformats.org/drawingml/2006/main">
          <a:off x="297180" y="3246120"/>
          <a:ext cx="548640" cy="48006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200" b="1"/>
            <a:t>Million</a:t>
          </a:r>
        </a:p>
        <a:p xmlns:a="http://schemas.openxmlformats.org/drawingml/2006/main">
          <a:r>
            <a:rPr lang="en-US" sz="1200" b="1"/>
            <a:t>tonnes</a:t>
          </a:r>
        </a:p>
      </cdr:txBody>
    </cdr:sp>
  </cdr:relSizeAnchor>
  <cdr:relSizeAnchor xmlns:cdr="http://schemas.openxmlformats.org/drawingml/2006/chartDrawing">
    <cdr:from>
      <cdr:x>0.40553</cdr:x>
      <cdr:y>0.34455</cdr:y>
    </cdr:from>
    <cdr:to>
      <cdr:x>0.55629</cdr:x>
      <cdr:y>0.57779</cdr:y>
    </cdr:to>
    <cdr:sp macro="" textlink="">
      <cdr:nvSpPr>
        <cdr:cNvPr id="9" name="TextBox 8"/>
        <cdr:cNvSpPr txBox="1"/>
      </cdr:nvSpPr>
      <cdr:spPr>
        <a:xfrm xmlns:a="http://schemas.openxmlformats.org/drawingml/2006/main">
          <a:off x="2468880" y="135636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a:p>
      </cdr:txBody>
    </cdr:sp>
  </cdr:relSizeAnchor>
  <cdr:relSizeAnchor xmlns:cdr="http://schemas.openxmlformats.org/drawingml/2006/chartDrawing">
    <cdr:from>
      <cdr:x>0.04631</cdr:x>
      <cdr:y>0.78571</cdr:y>
    </cdr:from>
    <cdr:to>
      <cdr:x>0.1965</cdr:x>
      <cdr:y>1</cdr:y>
    </cdr:to>
    <cdr:sp macro="" textlink="">
      <cdr:nvSpPr>
        <cdr:cNvPr id="10" name="TextBox 9"/>
        <cdr:cNvSpPr txBox="1"/>
      </cdr:nvSpPr>
      <cdr:spPr>
        <a:xfrm xmlns:a="http://schemas.openxmlformats.org/drawingml/2006/main">
          <a:off x="281940" y="408432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a:p>
      </cdr:txBody>
    </cdr:sp>
  </cdr:relSizeAnchor>
  <cdr:relSizeAnchor xmlns:cdr="http://schemas.openxmlformats.org/drawingml/2006/chartDrawing">
    <cdr:from>
      <cdr:x>0.02753</cdr:x>
      <cdr:y>0.78571</cdr:y>
    </cdr:from>
    <cdr:to>
      <cdr:x>0.17772</cdr:x>
      <cdr:y>1</cdr:y>
    </cdr:to>
    <cdr:sp macro="" textlink="">
      <cdr:nvSpPr>
        <cdr:cNvPr id="11" name="TextBox 10"/>
        <cdr:cNvSpPr txBox="1"/>
      </cdr:nvSpPr>
      <cdr:spPr>
        <a:xfrm xmlns:a="http://schemas.openxmlformats.org/drawingml/2006/main">
          <a:off x="167640" y="408432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a:p>
      </cdr:txBody>
    </cdr:sp>
  </cdr:relSizeAnchor>
  <cdr:relSizeAnchor xmlns:cdr="http://schemas.openxmlformats.org/drawingml/2006/chartDrawing">
    <cdr:from>
      <cdr:x>0.02753</cdr:x>
      <cdr:y>0.90357</cdr:y>
    </cdr:from>
    <cdr:to>
      <cdr:x>0.94618</cdr:x>
      <cdr:y>1</cdr:y>
    </cdr:to>
    <cdr:sp macro="" textlink="">
      <cdr:nvSpPr>
        <cdr:cNvPr id="12" name="TextBox 11"/>
        <cdr:cNvSpPr txBox="1"/>
      </cdr:nvSpPr>
      <cdr:spPr>
        <a:xfrm xmlns:a="http://schemas.openxmlformats.org/drawingml/2006/main">
          <a:off x="167612" y="3855714"/>
          <a:ext cx="5593107" cy="41148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800"/>
            <a:t>Carbon</a:t>
          </a:r>
          <a:r>
            <a:rPr lang="en-US" sz="800" baseline="0"/>
            <a:t> tax rate </a:t>
          </a:r>
          <a:r>
            <a:rPr lang="en-US" sz="800">
              <a:latin typeface="+mn-lt"/>
              <a:ea typeface="+mn-ea"/>
              <a:cs typeface="+mn-cs"/>
            </a:rPr>
            <a:t>for electricity sector is same as Baucus clean-electricity credit; rate for personal ground travel, freight and aviation </a:t>
          </a:r>
        </a:p>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800">
              <a:latin typeface="+mn-lt"/>
              <a:ea typeface="+mn-ea"/>
              <a:cs typeface="+mn-cs"/>
            </a:rPr>
            <a:t>is same as Baucus clean-fuels credit; rate for other sectors is mean</a:t>
          </a:r>
          <a:r>
            <a:rPr lang="en-US" sz="800" baseline="0">
              <a:latin typeface="+mn-lt"/>
              <a:ea typeface="+mn-ea"/>
              <a:cs typeface="+mn-cs"/>
            </a:rPr>
            <a:t> of the two. Figures omit rebound effect on clean-energy credits.</a:t>
          </a:r>
          <a:endParaRPr lang="en-US" sz="800"/>
        </a:p>
      </cdr:txBody>
    </cdr:sp>
  </cdr:relSizeAnchor>
</c:userShapes>
</file>

<file path=xl/drawings/drawing6.xml><?xml version="1.0" encoding="utf-8"?>
<xdr:wsDr xmlns:xdr="http://schemas.openxmlformats.org/drawingml/2006/spreadsheetDrawing" xmlns:a="http://schemas.openxmlformats.org/drawingml/2006/main">
  <xdr:twoCellAnchor editAs="oneCell">
    <xdr:from>
      <xdr:col>17</xdr:col>
      <xdr:colOff>312420</xdr:colOff>
      <xdr:row>10</xdr:row>
      <xdr:rowOff>0</xdr:rowOff>
    </xdr:from>
    <xdr:to>
      <xdr:col>18</xdr:col>
      <xdr:colOff>426720</xdr:colOff>
      <xdr:row>30</xdr:row>
      <xdr:rowOff>30480</xdr:rowOff>
    </xdr:to>
    <xdr:sp macro="" textlink="">
      <xdr:nvSpPr>
        <xdr:cNvPr id="9461152" name="Text Box 2"/>
        <xdr:cNvSpPr txBox="1">
          <a:spLocks noChangeArrowheads="1"/>
        </xdr:cNvSpPr>
      </xdr:nvSpPr>
      <xdr:spPr bwMode="auto">
        <a:xfrm>
          <a:off x="10469880" y="1752600"/>
          <a:ext cx="739140" cy="3535680"/>
        </a:xfrm>
        <a:prstGeom prst="rect">
          <a:avLst/>
        </a:prstGeom>
        <a:noFill/>
        <a:ln w="9525">
          <a:noFill/>
          <a:miter lim="800000"/>
          <a:headEnd/>
          <a:tailEnd/>
        </a:ln>
      </xdr:spPr>
    </xdr:sp>
    <xdr:clientData/>
  </xdr:twoCellAnchor>
  <xdr:twoCellAnchor editAs="oneCell">
    <xdr:from>
      <xdr:col>10</xdr:col>
      <xdr:colOff>68580</xdr:colOff>
      <xdr:row>10</xdr:row>
      <xdr:rowOff>0</xdr:rowOff>
    </xdr:from>
    <xdr:to>
      <xdr:col>12</xdr:col>
      <xdr:colOff>403860</xdr:colOff>
      <xdr:row>13</xdr:row>
      <xdr:rowOff>76200</xdr:rowOff>
    </xdr:to>
    <xdr:sp macro="" textlink="">
      <xdr:nvSpPr>
        <xdr:cNvPr id="9461153" name="Text Box 3"/>
        <xdr:cNvSpPr txBox="1">
          <a:spLocks noChangeArrowheads="1"/>
        </xdr:cNvSpPr>
      </xdr:nvSpPr>
      <xdr:spPr bwMode="auto">
        <a:xfrm>
          <a:off x="5852160" y="1752600"/>
          <a:ext cx="1584960" cy="601980"/>
        </a:xfrm>
        <a:prstGeom prst="rect">
          <a:avLst/>
        </a:prstGeom>
        <a:noFill/>
        <a:ln w="9525">
          <a:noFill/>
          <a:miter lim="800000"/>
          <a:headEnd/>
          <a:tailEnd/>
        </a:ln>
      </xdr:spPr>
    </xdr:sp>
    <xdr:clientData/>
  </xdr:twoCellAnchor>
  <xdr:twoCellAnchor editAs="oneCell">
    <xdr:from>
      <xdr:col>2</xdr:col>
      <xdr:colOff>495300</xdr:colOff>
      <xdr:row>10</xdr:row>
      <xdr:rowOff>0</xdr:rowOff>
    </xdr:from>
    <xdr:to>
      <xdr:col>6</xdr:col>
      <xdr:colOff>510540</xdr:colOff>
      <xdr:row>13</xdr:row>
      <xdr:rowOff>30480</xdr:rowOff>
    </xdr:to>
    <xdr:sp macro="" textlink="">
      <xdr:nvSpPr>
        <xdr:cNvPr id="9461154" name="Text Box 8"/>
        <xdr:cNvSpPr txBox="1">
          <a:spLocks noChangeArrowheads="1"/>
        </xdr:cNvSpPr>
      </xdr:nvSpPr>
      <xdr:spPr bwMode="auto">
        <a:xfrm>
          <a:off x="1280160" y="1752600"/>
          <a:ext cx="2514600" cy="556260"/>
        </a:xfrm>
        <a:prstGeom prst="rect">
          <a:avLst/>
        </a:prstGeom>
        <a:noFill/>
        <a:ln w="9525">
          <a:noFill/>
          <a:miter lim="800000"/>
          <a:headEnd/>
          <a:tailEnd/>
        </a:ln>
      </xdr:spPr>
    </xdr:sp>
    <xdr:clientData/>
  </xdr:twoCellAnchor>
  <xdr:twoCellAnchor editAs="oneCell">
    <xdr:from>
      <xdr:col>8</xdr:col>
      <xdr:colOff>0</xdr:colOff>
      <xdr:row>10</xdr:row>
      <xdr:rowOff>0</xdr:rowOff>
    </xdr:from>
    <xdr:to>
      <xdr:col>12</xdr:col>
      <xdr:colOff>365760</xdr:colOff>
      <xdr:row>13</xdr:row>
      <xdr:rowOff>60960</xdr:rowOff>
    </xdr:to>
    <xdr:sp macro="" textlink="">
      <xdr:nvSpPr>
        <xdr:cNvPr id="9461155" name="Text Box 9"/>
        <xdr:cNvSpPr txBox="1">
          <a:spLocks noChangeArrowheads="1"/>
        </xdr:cNvSpPr>
      </xdr:nvSpPr>
      <xdr:spPr bwMode="auto">
        <a:xfrm>
          <a:off x="4533900" y="1752600"/>
          <a:ext cx="2865120" cy="586740"/>
        </a:xfrm>
        <a:prstGeom prst="rect">
          <a:avLst/>
        </a:prstGeom>
        <a:noFill/>
        <a:ln w="9525">
          <a:noFill/>
          <a:miter lim="800000"/>
          <a:headEnd/>
          <a:tailEnd/>
        </a:ln>
      </xdr:spPr>
    </xdr:sp>
    <xdr:clientData/>
  </xdr:twoCellAnchor>
  <xdr:twoCellAnchor>
    <xdr:from>
      <xdr:col>1</xdr:col>
      <xdr:colOff>76200</xdr:colOff>
      <xdr:row>17</xdr:row>
      <xdr:rowOff>68580</xdr:rowOff>
    </xdr:from>
    <xdr:to>
      <xdr:col>11</xdr:col>
      <xdr:colOff>220980</xdr:colOff>
      <xdr:row>40</xdr:row>
      <xdr:rowOff>30480</xdr:rowOff>
    </xdr:to>
    <xdr:graphicFrame macro="">
      <xdr:nvGraphicFramePr>
        <xdr:cNvPr id="946115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495300</xdr:colOff>
      <xdr:row>33</xdr:row>
      <xdr:rowOff>99060</xdr:rowOff>
    </xdr:from>
    <xdr:to>
      <xdr:col>6</xdr:col>
      <xdr:colOff>335280</xdr:colOff>
      <xdr:row>36</xdr:row>
      <xdr:rowOff>121920</xdr:rowOff>
    </xdr:to>
    <xdr:sp macro="" textlink="">
      <xdr:nvSpPr>
        <xdr:cNvPr id="9461157" name="Text Box 8"/>
        <xdr:cNvSpPr txBox="1">
          <a:spLocks noChangeArrowheads="1"/>
        </xdr:cNvSpPr>
      </xdr:nvSpPr>
      <xdr:spPr bwMode="auto">
        <a:xfrm>
          <a:off x="1905000" y="5882640"/>
          <a:ext cx="1714500" cy="548640"/>
        </a:xfrm>
        <a:prstGeom prst="rect">
          <a:avLst/>
        </a:prstGeom>
        <a:noFill/>
        <a:ln w="9525">
          <a:noFill/>
          <a:miter lim="800000"/>
          <a:headEnd/>
          <a:tailEnd/>
        </a:ln>
      </xdr:spPr>
    </xdr:sp>
    <xdr:clientData/>
  </xdr:twoCellAnchor>
  <xdr:twoCellAnchor editAs="oneCell">
    <xdr:from>
      <xdr:col>10</xdr:col>
      <xdr:colOff>76200</xdr:colOff>
      <xdr:row>34</xdr:row>
      <xdr:rowOff>22860</xdr:rowOff>
    </xdr:from>
    <xdr:to>
      <xdr:col>15</xdr:col>
      <xdr:colOff>198120</xdr:colOff>
      <xdr:row>37</xdr:row>
      <xdr:rowOff>76200</xdr:rowOff>
    </xdr:to>
    <xdr:sp macro="" textlink="">
      <xdr:nvSpPr>
        <xdr:cNvPr id="9461158" name="Text Box 9"/>
        <xdr:cNvSpPr txBox="1">
          <a:spLocks noChangeArrowheads="1"/>
        </xdr:cNvSpPr>
      </xdr:nvSpPr>
      <xdr:spPr bwMode="auto">
        <a:xfrm>
          <a:off x="5859780" y="5981700"/>
          <a:ext cx="3246120" cy="579120"/>
        </a:xfrm>
        <a:prstGeom prst="rect">
          <a:avLst/>
        </a:prstGeom>
        <a:noFill/>
        <a:ln w="9525">
          <a:noFill/>
          <a:miter lim="800000"/>
          <a:headEnd/>
          <a:tailEnd/>
        </a:ln>
      </xdr:spPr>
    </xdr:sp>
    <xdr:clientData/>
  </xdr:twoCellAnchor>
  <xdr:twoCellAnchor>
    <xdr:from>
      <xdr:col>12</xdr:col>
      <xdr:colOff>68580</xdr:colOff>
      <xdr:row>17</xdr:row>
      <xdr:rowOff>76200</xdr:rowOff>
    </xdr:from>
    <xdr:to>
      <xdr:col>21</xdr:col>
      <xdr:colOff>533400</xdr:colOff>
      <xdr:row>41</xdr:row>
      <xdr:rowOff>137160</xdr:rowOff>
    </xdr:to>
    <xdr:graphicFrame macro="">
      <xdr:nvGraphicFramePr>
        <xdr:cNvPr id="9461159"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13</xdr:col>
      <xdr:colOff>68580</xdr:colOff>
      <xdr:row>64</xdr:row>
      <xdr:rowOff>106680</xdr:rowOff>
    </xdr:from>
    <xdr:to>
      <xdr:col>16</xdr:col>
      <xdr:colOff>83820</xdr:colOff>
      <xdr:row>68</xdr:row>
      <xdr:rowOff>99060</xdr:rowOff>
    </xdr:to>
    <xdr:sp macro="" textlink="">
      <xdr:nvSpPr>
        <xdr:cNvPr id="9461160" name="Text Box 3"/>
        <xdr:cNvSpPr txBox="1">
          <a:spLocks noChangeArrowheads="1"/>
        </xdr:cNvSpPr>
      </xdr:nvSpPr>
      <xdr:spPr bwMode="auto">
        <a:xfrm>
          <a:off x="7726680" y="11323320"/>
          <a:ext cx="1889760" cy="693420"/>
        </a:xfrm>
        <a:prstGeom prst="rect">
          <a:avLst/>
        </a:prstGeom>
        <a:noFill/>
        <a:ln w="9525">
          <a:noFill/>
          <a:miter lim="800000"/>
          <a:headEnd/>
          <a:tailEnd/>
        </a:ln>
      </xdr:spPr>
    </xdr:sp>
    <xdr:clientData/>
  </xdr:twoCellAnchor>
  <xdr:oneCellAnchor>
    <xdr:from>
      <xdr:col>10</xdr:col>
      <xdr:colOff>388620</xdr:colOff>
      <xdr:row>15</xdr:row>
      <xdr:rowOff>91440</xdr:rowOff>
    </xdr:from>
    <xdr:ext cx="184731" cy="264560"/>
    <xdr:sp macro="" textlink="">
      <xdr:nvSpPr>
        <xdr:cNvPr id="11" name="TextBox 10"/>
        <xdr:cNvSpPr txBox="1"/>
      </xdr:nvSpPr>
      <xdr:spPr>
        <a:xfrm>
          <a:off x="6172200" y="2720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twoCellAnchor>
    <xdr:from>
      <xdr:col>23</xdr:col>
      <xdr:colOff>45720</xdr:colOff>
      <xdr:row>17</xdr:row>
      <xdr:rowOff>68580</xdr:rowOff>
    </xdr:from>
    <xdr:to>
      <xdr:col>32</xdr:col>
      <xdr:colOff>502920</xdr:colOff>
      <xdr:row>41</xdr:row>
      <xdr:rowOff>137160</xdr:rowOff>
    </xdr:to>
    <xdr:graphicFrame macro="">
      <xdr:nvGraphicFramePr>
        <xdr:cNvPr id="946116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xdr:col>
      <xdr:colOff>373380</xdr:colOff>
      <xdr:row>28</xdr:row>
      <xdr:rowOff>45720</xdr:rowOff>
    </xdr:from>
    <xdr:to>
      <xdr:col>25</xdr:col>
      <xdr:colOff>373380</xdr:colOff>
      <xdr:row>30</xdr:row>
      <xdr:rowOff>7620</xdr:rowOff>
    </xdr:to>
    <xdr:cxnSp macro="">
      <xdr:nvCxnSpPr>
        <xdr:cNvPr id="14" name="Straight Arrow Connector 13"/>
        <xdr:cNvCxnSpPr/>
      </xdr:nvCxnSpPr>
      <xdr:spPr>
        <a:xfrm>
          <a:off x="15529560" y="4953000"/>
          <a:ext cx="0" cy="31242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c:userShapes xmlns:c="http://schemas.openxmlformats.org/drawingml/2006/chart">
  <cdr:relSizeAnchor xmlns:cdr="http://schemas.openxmlformats.org/drawingml/2006/chartDrawing">
    <cdr:from>
      <cdr:x>0.0257</cdr:x>
      <cdr:y>0.48586</cdr:y>
    </cdr:from>
    <cdr:to>
      <cdr:x>0.03828</cdr:x>
      <cdr:y>0.53609</cdr:y>
    </cdr:to>
    <cdr:sp macro="" textlink="">
      <cdr:nvSpPr>
        <cdr:cNvPr id="4099" name="Text Box 3"/>
        <cdr:cNvSpPr txBox="1">
          <a:spLocks xmlns:a="http://schemas.openxmlformats.org/drawingml/2006/main" noChangeArrowheads="1"/>
        </cdr:cNvSpPr>
      </cdr:nvSpPr>
      <cdr:spPr bwMode="auto">
        <a:xfrm xmlns:a="http://schemas.openxmlformats.org/drawingml/2006/main">
          <a:off x="203419" y="2216366"/>
          <a:ext cx="94479" cy="26710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0.03531</cdr:x>
      <cdr:y>0.49369</cdr:y>
    </cdr:from>
    <cdr:to>
      <cdr:x>0.54999</cdr:x>
      <cdr:y>0.60033</cdr:y>
    </cdr:to>
    <cdr:sp macro="" textlink="">
      <cdr:nvSpPr>
        <cdr:cNvPr id="4100" name="Text Box 4"/>
        <cdr:cNvSpPr txBox="1">
          <a:spLocks xmlns:a="http://schemas.openxmlformats.org/drawingml/2006/main" noChangeArrowheads="1"/>
        </cdr:cNvSpPr>
      </cdr:nvSpPr>
      <cdr:spPr bwMode="auto">
        <a:xfrm xmlns:a="http://schemas.openxmlformats.org/drawingml/2006/main">
          <a:off x="270644" y="2258288"/>
          <a:ext cx="3819111" cy="56175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0.26387</cdr:x>
      <cdr:y>0.57751</cdr:y>
    </cdr:from>
    <cdr:to>
      <cdr:x>0.41002</cdr:x>
      <cdr:y>0.80457</cdr:y>
    </cdr:to>
    <cdr:sp macro="" textlink="">
      <cdr:nvSpPr>
        <cdr:cNvPr id="6" name="TextBox 5"/>
        <cdr:cNvSpPr txBox="1"/>
      </cdr:nvSpPr>
      <cdr:spPr>
        <a:xfrm xmlns:a="http://schemas.openxmlformats.org/drawingml/2006/main">
          <a:off x="1752600" y="230886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a:p>
      </cdr:txBody>
    </cdr:sp>
  </cdr:relSizeAnchor>
</c:userShapes>
</file>

<file path=xl/drawings/drawing8.xml><?xml version="1.0" encoding="utf-8"?>
<c:userShapes xmlns:c="http://schemas.openxmlformats.org/drawingml/2006/chart">
  <cdr:relSizeAnchor xmlns:cdr="http://schemas.openxmlformats.org/drawingml/2006/chartDrawing">
    <cdr:from>
      <cdr:x>0.15594</cdr:x>
      <cdr:y>0.04454</cdr:y>
    </cdr:from>
    <cdr:to>
      <cdr:x>0.32764</cdr:x>
      <cdr:y>0.31839</cdr:y>
    </cdr:to>
    <cdr:sp macro="" textlink="">
      <cdr:nvSpPr>
        <cdr:cNvPr id="2" name="TextBox 1"/>
        <cdr:cNvSpPr txBox="1"/>
      </cdr:nvSpPr>
      <cdr:spPr>
        <a:xfrm xmlns:a="http://schemas.openxmlformats.org/drawingml/2006/main">
          <a:off x="863600" y="194734"/>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a:p>
      </cdr:txBody>
    </cdr:sp>
  </cdr:relSizeAnchor>
  <cdr:relSizeAnchor xmlns:cdr="http://schemas.openxmlformats.org/drawingml/2006/chartDrawing">
    <cdr:from>
      <cdr:x>0.69952</cdr:x>
      <cdr:y>0.94588</cdr:y>
    </cdr:from>
    <cdr:to>
      <cdr:x>0.98228</cdr:x>
      <cdr:y>0.99782</cdr:y>
    </cdr:to>
    <cdr:sp macro="" textlink="">
      <cdr:nvSpPr>
        <cdr:cNvPr id="3" name="TextBox 2"/>
        <cdr:cNvSpPr txBox="1"/>
      </cdr:nvSpPr>
      <cdr:spPr>
        <a:xfrm xmlns:a="http://schemas.openxmlformats.org/drawingml/2006/main" flipH="1">
          <a:off x="4659229" y="3705225"/>
          <a:ext cx="1875752" cy="21244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a:p>
      </cdr:txBody>
    </cdr:sp>
  </cdr:relSizeAnchor>
  <cdr:relSizeAnchor xmlns:cdr="http://schemas.openxmlformats.org/drawingml/2006/chartDrawing">
    <cdr:from>
      <cdr:x>0.46621</cdr:x>
      <cdr:y>0.2584</cdr:y>
    </cdr:from>
    <cdr:to>
      <cdr:x>0.62318</cdr:x>
      <cdr:y>0.5084</cdr:y>
    </cdr:to>
    <cdr:sp macro="" textlink="">
      <cdr:nvSpPr>
        <cdr:cNvPr id="4" name="TextBox 3"/>
        <cdr:cNvSpPr txBox="1"/>
      </cdr:nvSpPr>
      <cdr:spPr>
        <a:xfrm xmlns:a="http://schemas.openxmlformats.org/drawingml/2006/main">
          <a:off x="2638425" y="828675"/>
          <a:ext cx="914400" cy="8667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a:p>
      </cdr:txBody>
    </cdr:sp>
  </cdr:relSizeAnchor>
  <cdr:relSizeAnchor xmlns:cdr="http://schemas.openxmlformats.org/drawingml/2006/chartDrawing">
    <cdr:from>
      <cdr:x>0.50907</cdr:x>
      <cdr:y>0.26167</cdr:y>
    </cdr:from>
    <cdr:to>
      <cdr:x>0.93557</cdr:x>
      <cdr:y>0.42255</cdr:y>
    </cdr:to>
    <cdr:sp macro="" textlink="">
      <cdr:nvSpPr>
        <cdr:cNvPr id="5" name="TextBox 4"/>
        <cdr:cNvSpPr txBox="1"/>
      </cdr:nvSpPr>
      <cdr:spPr>
        <a:xfrm xmlns:a="http://schemas.openxmlformats.org/drawingml/2006/main">
          <a:off x="2886074" y="838200"/>
          <a:ext cx="2486025" cy="56197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a:p>
      </cdr:txBody>
    </cdr:sp>
  </cdr:relSizeAnchor>
  <cdr:relSizeAnchor xmlns:cdr="http://schemas.openxmlformats.org/drawingml/2006/chartDrawing">
    <cdr:from>
      <cdr:x>0.00074</cdr:x>
      <cdr:y>0.88057</cdr:y>
    </cdr:from>
    <cdr:to>
      <cdr:x>0.00074</cdr:x>
      <cdr:y>0.88715</cdr:y>
    </cdr:to>
    <cdr:sp macro="" textlink="">
      <cdr:nvSpPr>
        <cdr:cNvPr id="6" name="TextBox 5"/>
        <cdr:cNvSpPr txBox="1"/>
      </cdr:nvSpPr>
      <cdr:spPr>
        <a:xfrm xmlns:a="http://schemas.openxmlformats.org/drawingml/2006/main">
          <a:off x="19050" y="2657475"/>
          <a:ext cx="1028700" cy="7429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a:p>
      </cdr:txBody>
    </cdr:sp>
  </cdr:relSizeAnchor>
  <cdr:relSizeAnchor xmlns:cdr="http://schemas.openxmlformats.org/drawingml/2006/chartDrawing">
    <cdr:from>
      <cdr:x>0.00074</cdr:x>
      <cdr:y>0.89381</cdr:y>
    </cdr:from>
    <cdr:to>
      <cdr:x>0.00074</cdr:x>
      <cdr:y>0.89941</cdr:y>
    </cdr:to>
    <cdr:sp macro="" textlink="">
      <cdr:nvSpPr>
        <cdr:cNvPr id="7" name="TextBox 6"/>
        <cdr:cNvSpPr txBox="1"/>
      </cdr:nvSpPr>
      <cdr:spPr>
        <a:xfrm xmlns:a="http://schemas.openxmlformats.org/drawingml/2006/main">
          <a:off x="1" y="2705099"/>
          <a:ext cx="628650" cy="6953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a:p>
      </cdr:txBody>
    </cdr:sp>
  </cdr:relSizeAnchor>
  <cdr:relSizeAnchor xmlns:cdr="http://schemas.openxmlformats.org/drawingml/2006/chartDrawing">
    <cdr:from>
      <cdr:x>0.00074</cdr:x>
      <cdr:y>0.75253</cdr:y>
    </cdr:from>
    <cdr:to>
      <cdr:x>0.08713</cdr:x>
      <cdr:y>0.93771</cdr:y>
    </cdr:to>
    <cdr:sp macro="" textlink="">
      <cdr:nvSpPr>
        <cdr:cNvPr id="8" name="TextBox 7"/>
        <cdr:cNvSpPr txBox="1"/>
      </cdr:nvSpPr>
      <cdr:spPr>
        <a:xfrm xmlns:a="http://schemas.openxmlformats.org/drawingml/2006/main">
          <a:off x="0" y="3230938"/>
          <a:ext cx="574670" cy="77463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200" b="1"/>
            <a:t>Million</a:t>
          </a:r>
        </a:p>
        <a:p xmlns:a="http://schemas.openxmlformats.org/drawingml/2006/main">
          <a:r>
            <a:rPr lang="en-US" sz="1200" b="1"/>
            <a:t>tonnes</a:t>
          </a:r>
        </a:p>
      </cdr:txBody>
    </cdr:sp>
  </cdr:relSizeAnchor>
  <cdr:relSizeAnchor xmlns:cdr="http://schemas.openxmlformats.org/drawingml/2006/chartDrawing">
    <cdr:from>
      <cdr:x>0.40553</cdr:x>
      <cdr:y>0.34455</cdr:y>
    </cdr:from>
    <cdr:to>
      <cdr:x>0.55629</cdr:x>
      <cdr:y>0.57779</cdr:y>
    </cdr:to>
    <cdr:sp macro="" textlink="">
      <cdr:nvSpPr>
        <cdr:cNvPr id="9" name="TextBox 8"/>
        <cdr:cNvSpPr txBox="1"/>
      </cdr:nvSpPr>
      <cdr:spPr>
        <a:xfrm xmlns:a="http://schemas.openxmlformats.org/drawingml/2006/main">
          <a:off x="2468880" y="135636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a:p>
      </cdr:txBody>
    </cdr:sp>
  </cdr:relSizeAnchor>
</c:userShapes>
</file>

<file path=xl/drawings/drawing9.xml><?xml version="1.0" encoding="utf-8"?>
<c:userShapes xmlns:c="http://schemas.openxmlformats.org/drawingml/2006/chart">
  <cdr:relSizeAnchor xmlns:cdr="http://schemas.openxmlformats.org/drawingml/2006/chartDrawing">
    <cdr:from>
      <cdr:x>0.15421</cdr:x>
      <cdr:y>0.04528</cdr:y>
    </cdr:from>
    <cdr:to>
      <cdr:x>0.32764</cdr:x>
      <cdr:y>0.32034</cdr:y>
    </cdr:to>
    <cdr:sp macro="" textlink="">
      <cdr:nvSpPr>
        <cdr:cNvPr id="2" name="TextBox 1"/>
        <cdr:cNvSpPr txBox="1"/>
      </cdr:nvSpPr>
      <cdr:spPr>
        <a:xfrm xmlns:a="http://schemas.openxmlformats.org/drawingml/2006/main">
          <a:off x="863600" y="194734"/>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a:p>
      </cdr:txBody>
    </cdr:sp>
  </cdr:relSizeAnchor>
  <cdr:relSizeAnchor xmlns:cdr="http://schemas.openxmlformats.org/drawingml/2006/chartDrawing">
    <cdr:from>
      <cdr:x>0.70199</cdr:x>
      <cdr:y>0.94612</cdr:y>
    </cdr:from>
    <cdr:to>
      <cdr:x>0.98105</cdr:x>
      <cdr:y>0.99782</cdr:y>
    </cdr:to>
    <cdr:sp macro="" textlink="">
      <cdr:nvSpPr>
        <cdr:cNvPr id="3" name="TextBox 2"/>
        <cdr:cNvSpPr txBox="1"/>
      </cdr:nvSpPr>
      <cdr:spPr>
        <a:xfrm xmlns:a="http://schemas.openxmlformats.org/drawingml/2006/main" flipH="1">
          <a:off x="4659229" y="3705225"/>
          <a:ext cx="1875752" cy="21244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a:p>
      </cdr:txBody>
    </cdr:sp>
  </cdr:relSizeAnchor>
  <cdr:relSizeAnchor xmlns:cdr="http://schemas.openxmlformats.org/drawingml/2006/chartDrawing">
    <cdr:from>
      <cdr:x>0.46645</cdr:x>
      <cdr:y>0.26011</cdr:y>
    </cdr:from>
    <cdr:to>
      <cdr:x>0.62491</cdr:x>
      <cdr:y>0.51109</cdr:y>
    </cdr:to>
    <cdr:sp macro="" textlink="">
      <cdr:nvSpPr>
        <cdr:cNvPr id="4" name="TextBox 3"/>
        <cdr:cNvSpPr txBox="1"/>
      </cdr:nvSpPr>
      <cdr:spPr>
        <a:xfrm xmlns:a="http://schemas.openxmlformats.org/drawingml/2006/main">
          <a:off x="2638425" y="828675"/>
          <a:ext cx="914400" cy="8667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a:p>
      </cdr:txBody>
    </cdr:sp>
  </cdr:relSizeAnchor>
  <cdr:relSizeAnchor xmlns:cdr="http://schemas.openxmlformats.org/drawingml/2006/chartDrawing">
    <cdr:from>
      <cdr:x>0.51005</cdr:x>
      <cdr:y>0.26338</cdr:y>
    </cdr:from>
    <cdr:to>
      <cdr:x>0.93509</cdr:x>
      <cdr:y>0.42474</cdr:y>
    </cdr:to>
    <cdr:sp macro="" textlink="">
      <cdr:nvSpPr>
        <cdr:cNvPr id="5" name="TextBox 4"/>
        <cdr:cNvSpPr txBox="1"/>
      </cdr:nvSpPr>
      <cdr:spPr>
        <a:xfrm xmlns:a="http://schemas.openxmlformats.org/drawingml/2006/main">
          <a:off x="2886074" y="838200"/>
          <a:ext cx="2486025" cy="56197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a:p>
      </cdr:txBody>
    </cdr:sp>
  </cdr:relSizeAnchor>
  <cdr:relSizeAnchor xmlns:cdr="http://schemas.openxmlformats.org/drawingml/2006/chartDrawing">
    <cdr:from>
      <cdr:x>0.00074</cdr:x>
      <cdr:y>0.8813</cdr:y>
    </cdr:from>
    <cdr:to>
      <cdr:x>0.00074</cdr:x>
      <cdr:y>0.88789</cdr:y>
    </cdr:to>
    <cdr:sp macro="" textlink="">
      <cdr:nvSpPr>
        <cdr:cNvPr id="6" name="TextBox 5"/>
        <cdr:cNvSpPr txBox="1"/>
      </cdr:nvSpPr>
      <cdr:spPr>
        <a:xfrm xmlns:a="http://schemas.openxmlformats.org/drawingml/2006/main">
          <a:off x="19050" y="2657475"/>
          <a:ext cx="1028700" cy="7429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a:p>
      </cdr:txBody>
    </cdr:sp>
  </cdr:relSizeAnchor>
  <cdr:relSizeAnchor xmlns:cdr="http://schemas.openxmlformats.org/drawingml/2006/chartDrawing">
    <cdr:from>
      <cdr:x>0.00074</cdr:x>
      <cdr:y>0.89454</cdr:y>
    </cdr:from>
    <cdr:to>
      <cdr:x>0.00074</cdr:x>
      <cdr:y>0.90015</cdr:y>
    </cdr:to>
    <cdr:sp macro="" textlink="">
      <cdr:nvSpPr>
        <cdr:cNvPr id="7" name="TextBox 6"/>
        <cdr:cNvSpPr txBox="1"/>
      </cdr:nvSpPr>
      <cdr:spPr>
        <a:xfrm xmlns:a="http://schemas.openxmlformats.org/drawingml/2006/main">
          <a:off x="1" y="2705099"/>
          <a:ext cx="628650" cy="6953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a:p>
      </cdr:txBody>
    </cdr:sp>
  </cdr:relSizeAnchor>
  <cdr:relSizeAnchor xmlns:cdr="http://schemas.openxmlformats.org/drawingml/2006/chartDrawing">
    <cdr:from>
      <cdr:x>0.00074</cdr:x>
      <cdr:y>0.75618</cdr:y>
    </cdr:from>
    <cdr:to>
      <cdr:x>0.08663</cdr:x>
      <cdr:y>0.9382</cdr:y>
    </cdr:to>
    <cdr:sp macro="" textlink="">
      <cdr:nvSpPr>
        <cdr:cNvPr id="8" name="TextBox 7"/>
        <cdr:cNvSpPr txBox="1"/>
      </cdr:nvSpPr>
      <cdr:spPr>
        <a:xfrm xmlns:a="http://schemas.openxmlformats.org/drawingml/2006/main">
          <a:off x="0" y="3230938"/>
          <a:ext cx="574670" cy="77463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200" b="1"/>
            <a:t>Million</a:t>
          </a:r>
        </a:p>
        <a:p xmlns:a="http://schemas.openxmlformats.org/drawingml/2006/main">
          <a:r>
            <a:rPr lang="en-US" sz="1200" b="1"/>
            <a:t>tonnes</a:t>
          </a:r>
        </a:p>
      </cdr:txBody>
    </cdr:sp>
  </cdr:relSizeAnchor>
  <cdr:relSizeAnchor xmlns:cdr="http://schemas.openxmlformats.org/drawingml/2006/chartDrawing">
    <cdr:from>
      <cdr:x>0.40527</cdr:x>
      <cdr:y>0.3465</cdr:y>
    </cdr:from>
    <cdr:to>
      <cdr:x>0.55753</cdr:x>
      <cdr:y>0.58071</cdr:y>
    </cdr:to>
    <cdr:sp macro="" textlink="">
      <cdr:nvSpPr>
        <cdr:cNvPr id="9" name="TextBox 8"/>
        <cdr:cNvSpPr txBox="1"/>
      </cdr:nvSpPr>
      <cdr:spPr>
        <a:xfrm xmlns:a="http://schemas.openxmlformats.org/drawingml/2006/main">
          <a:off x="2468880" y="135636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a:p>
      </cdr:txBody>
    </cdr:sp>
  </cdr:relSizeAnchor>
  <cdr:relSizeAnchor xmlns:cdr="http://schemas.openxmlformats.org/drawingml/2006/chartDrawing">
    <cdr:from>
      <cdr:x>0.138</cdr:x>
      <cdr:y>0.28564</cdr:y>
    </cdr:from>
    <cdr:to>
      <cdr:x>0.40859</cdr:x>
      <cdr:y>0.54336</cdr:y>
    </cdr:to>
    <cdr:sp macro="" textlink="">
      <cdr:nvSpPr>
        <cdr:cNvPr id="10" name="TextBox 9"/>
        <cdr:cNvSpPr txBox="1"/>
      </cdr:nvSpPr>
      <cdr:spPr>
        <a:xfrm xmlns:a="http://schemas.openxmlformats.org/drawingml/2006/main">
          <a:off x="891540" y="1211580"/>
          <a:ext cx="1615440" cy="11049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050" b="1"/>
            <a:t>2/3 of these reductions</a:t>
          </a:r>
        </a:p>
        <a:p xmlns:a="http://schemas.openxmlformats.org/drawingml/2006/main">
          <a:r>
            <a:rPr lang="en-US" sz="1050" b="1"/>
            <a:t>are projected to be via</a:t>
          </a:r>
        </a:p>
        <a:p xmlns:a="http://schemas.openxmlformats.org/drawingml/2006/main">
          <a:r>
            <a:rPr lang="en-US" sz="1050" b="1"/>
            <a:t>"decarbonization" (i.e.,</a:t>
          </a:r>
        </a:p>
        <a:p xmlns:a="http://schemas.openxmlformats.org/drawingml/2006/main">
          <a:r>
            <a:rPr lang="en-US" sz="1050" b="1"/>
            <a:t>shifts in</a:t>
          </a:r>
          <a:r>
            <a:rPr lang="en-US" sz="1050" b="1" baseline="0"/>
            <a:t> energy supply)</a:t>
          </a:r>
          <a:endParaRPr lang="en-US" sz="1050" b="1"/>
        </a:p>
      </cdr:txBody>
    </cdr:sp>
  </cdr:relSizeAnchor>
  <cdr:relSizeAnchor xmlns:cdr="http://schemas.openxmlformats.org/drawingml/2006/chartDrawing">
    <cdr:from>
      <cdr:x>0.68595</cdr:x>
      <cdr:y>0.21089</cdr:y>
    </cdr:from>
    <cdr:to>
      <cdr:x>0.91504</cdr:x>
      <cdr:y>0.50991</cdr:y>
    </cdr:to>
    <cdr:sp macro="" textlink="">
      <cdr:nvSpPr>
        <cdr:cNvPr id="11" name="TextBox 10"/>
        <cdr:cNvSpPr txBox="1"/>
      </cdr:nvSpPr>
      <cdr:spPr>
        <a:xfrm xmlns:a="http://schemas.openxmlformats.org/drawingml/2006/main">
          <a:off x="4168140" y="891540"/>
          <a:ext cx="1394460" cy="128016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b="1"/>
            <a:t>Barely 1/3 of these</a:t>
          </a:r>
        </a:p>
        <a:p xmlns:a="http://schemas.openxmlformats.org/drawingml/2006/main">
          <a:r>
            <a:rPr lang="en-US" sz="1100" b="1"/>
            <a:t>reductions will take</a:t>
          </a:r>
        </a:p>
        <a:p xmlns:a="http://schemas.openxmlformats.org/drawingml/2006/main">
          <a:r>
            <a:rPr lang="en-US" sz="1100" b="1"/>
            <a:t>place through supply</a:t>
          </a:r>
        </a:p>
        <a:p xmlns:a="http://schemas.openxmlformats.org/drawingml/2006/main">
          <a:r>
            <a:rPr lang="en-US" sz="1100" b="1"/>
            <a:t>(fuel) shifts; the bulk</a:t>
          </a:r>
        </a:p>
        <a:p xmlns:a="http://schemas.openxmlformats.org/drawingml/2006/main">
          <a:r>
            <a:rPr lang="en-US" sz="1100" b="1"/>
            <a:t>will</a:t>
          </a:r>
          <a:r>
            <a:rPr lang="en-US" sz="1100" b="1" baseline="0"/>
            <a:t> require reducing</a:t>
          </a:r>
        </a:p>
        <a:p xmlns:a="http://schemas.openxmlformats.org/drawingml/2006/main">
          <a:r>
            <a:rPr lang="en-US" sz="1100" b="1" baseline="0"/>
            <a:t>demand</a:t>
          </a:r>
        </a:p>
        <a:p xmlns:a="http://schemas.openxmlformats.org/drawingml/2006/main">
          <a:endParaRPr lang="en-US" sz="1100"/>
        </a:p>
      </cdr:txBody>
    </cdr:sp>
  </cdr:relSizeAnchor>
  <cdr:relSizeAnchor xmlns:cdr="http://schemas.openxmlformats.org/drawingml/2006/chartDrawing">
    <cdr:from>
      <cdr:x>0.58875</cdr:x>
      <cdr:y>0.30683</cdr:y>
    </cdr:from>
    <cdr:to>
      <cdr:x>0.69097</cdr:x>
      <cdr:y>0.32111</cdr:y>
    </cdr:to>
    <cdr:sp macro="" textlink="">
      <cdr:nvSpPr>
        <cdr:cNvPr id="13" name="Straight Arrow Connector 12"/>
        <cdr:cNvSpPr/>
      </cdr:nvSpPr>
      <cdr:spPr>
        <a:xfrm xmlns:a="http://schemas.openxmlformats.org/drawingml/2006/main" flipH="1" flipV="1">
          <a:off x="3589020" y="1303020"/>
          <a:ext cx="609600" cy="60960"/>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komanoff.net/fossil/CTC_Carbon_Tax_Model.xls" TargetMode="External"/><Relationship Id="rId4" Type="http://schemas.openxmlformats.org/officeDocument/2006/relationships/hyperlink" Target="http://www.komanoff.net/fossil/CTC_PPT_Carbon_tax_modeling.pdf" TargetMode="External"/><Relationship Id="rId5" Type="http://schemas.openxmlformats.org/officeDocument/2006/relationships/hyperlink" Target="http://www.carbontax.org/wp-content/uploads/2014/01/CTC_Design_of_Economic_Instruments_for_Reducing_U.S._Carbon_Emissions.pdf" TargetMode="External"/><Relationship Id="rId6" Type="http://schemas.openxmlformats.org/officeDocument/2006/relationships/hyperlink" Target="http://www.carbontax.org/wpcontent/uploads/2014/01/CTC_Carbon_Tax_Model_Tailored_to_baucus_Proposal.xlsx." TargetMode="External"/><Relationship Id="rId7" Type="http://schemas.openxmlformats.org/officeDocument/2006/relationships/drawing" Target="../drawings/drawing1.xml"/><Relationship Id="rId1" Type="http://schemas.openxmlformats.org/officeDocument/2006/relationships/hyperlink" Target="http://www.carbontax.org/" TargetMode="External"/><Relationship Id="rId2" Type="http://schemas.openxmlformats.org/officeDocument/2006/relationships/hyperlink" Target="mailto:kea@igc.org"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www.eia.doe.gov/emeu/mer/append_a.html,%20Table%20A3." TargetMode="External"/><Relationship Id="rId2" Type="http://schemas.openxmlformats.org/officeDocument/2006/relationships/hyperlink" Target="http://www.eia.doe.gov/emeu/mer/append_a.html,%20Table%20A3."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http://www.epa.gov/climatechange/emissions/usgginv_archive.html" TargetMode="External"/><Relationship Id="rId2" Type="http://schemas.openxmlformats.org/officeDocument/2006/relationships/drawing" Target="../drawings/drawing1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44"/>
  <sheetViews>
    <sheetView tabSelected="1" workbookViewId="0"/>
  </sheetViews>
  <sheetFormatPr baseColWidth="10" defaultColWidth="10.1640625" defaultRowHeight="15" customHeight="1" x14ac:dyDescent="0"/>
  <cols>
    <col min="1" max="1" width="2.6640625" customWidth="1"/>
    <col min="2" max="2" width="18.6640625" customWidth="1"/>
    <col min="3" max="3" width="11.1640625" customWidth="1"/>
    <col min="4" max="12" width="10.6640625" customWidth="1"/>
    <col min="13" max="16" width="10.6640625" style="71" customWidth="1"/>
    <col min="17" max="40" width="10.1640625" customWidth="1"/>
    <col min="41" max="41" width="2.33203125" style="6" customWidth="1"/>
  </cols>
  <sheetData>
    <row r="1" spans="2:41" s="8" customFormat="1" ht="15" customHeight="1">
      <c r="B1" s="59" t="s">
        <v>735</v>
      </c>
      <c r="M1" s="113"/>
      <c r="N1" s="137"/>
      <c r="O1" s="137"/>
      <c r="P1" s="137"/>
      <c r="AC1" s="32"/>
      <c r="AO1" s="88">
        <f>ROW()</f>
        <v>1</v>
      </c>
    </row>
    <row r="2" spans="2:41" s="8" customFormat="1" ht="15" customHeight="1">
      <c r="L2"/>
      <c r="M2" s="71"/>
      <c r="N2" s="71"/>
      <c r="O2"/>
      <c r="P2"/>
      <c r="Q2"/>
      <c r="R2"/>
      <c r="S2"/>
      <c r="T2"/>
      <c r="U2"/>
      <c r="V2"/>
      <c r="AC2" s="32"/>
      <c r="AO2" s="88">
        <f>ROW()</f>
        <v>2</v>
      </c>
    </row>
    <row r="3" spans="2:41" s="8" customFormat="1" ht="15" customHeight="1">
      <c r="B3" s="155" t="s">
        <v>217</v>
      </c>
      <c r="F3" s="137">
        <v>41674</v>
      </c>
      <c r="L3" s="734" t="s">
        <v>805</v>
      </c>
      <c r="M3" s="735"/>
      <c r="N3" s="735"/>
      <c r="O3" s="735"/>
      <c r="P3" s="735"/>
      <c r="Q3" s="736"/>
      <c r="R3"/>
      <c r="S3"/>
      <c r="T3"/>
      <c r="U3"/>
      <c r="V3"/>
      <c r="AC3" s="32"/>
      <c r="AO3" s="88"/>
    </row>
    <row r="4" spans="2:41" s="8" customFormat="1" ht="15" customHeight="1">
      <c r="L4" s="737"/>
      <c r="M4" s="738"/>
      <c r="N4" s="738"/>
      <c r="O4" s="738"/>
      <c r="P4" s="738"/>
      <c r="Q4" s="739"/>
      <c r="R4"/>
      <c r="S4"/>
      <c r="T4"/>
      <c r="U4"/>
      <c r="V4"/>
      <c r="AC4" s="32"/>
      <c r="AO4" s="88"/>
    </row>
    <row r="5" spans="2:41" s="8" customFormat="1" ht="15" customHeight="1">
      <c r="B5" s="755" t="s">
        <v>1054</v>
      </c>
      <c r="C5" s="759"/>
      <c r="D5" s="759"/>
      <c r="E5" s="759"/>
      <c r="F5" s="759"/>
      <c r="G5" s="759"/>
      <c r="H5" s="759"/>
      <c r="I5" s="759"/>
      <c r="J5" s="759"/>
      <c r="L5" s="547"/>
      <c r="M5" s="545"/>
      <c r="N5" s="545"/>
      <c r="O5" s="545"/>
      <c r="P5" s="545"/>
      <c r="Q5" s="548"/>
      <c r="R5"/>
      <c r="S5"/>
      <c r="T5"/>
      <c r="U5"/>
      <c r="V5"/>
      <c r="AC5" s="32"/>
      <c r="AO5" s="88"/>
    </row>
    <row r="6" spans="2:41" s="8" customFormat="1" ht="15" customHeight="1">
      <c r="B6" s="759"/>
      <c r="C6" s="759"/>
      <c r="D6" s="759"/>
      <c r="E6" s="759"/>
      <c r="F6" s="759"/>
      <c r="G6" s="759"/>
      <c r="H6" s="759"/>
      <c r="I6" s="759"/>
      <c r="J6" s="759"/>
      <c r="L6" s="547"/>
      <c r="M6" s="545"/>
      <c r="N6" s="545"/>
      <c r="O6" s="545"/>
      <c r="P6" s="545"/>
      <c r="Q6" s="548"/>
      <c r="R6"/>
      <c r="S6"/>
      <c r="T6"/>
      <c r="U6"/>
      <c r="V6"/>
      <c r="AC6" s="32"/>
      <c r="AO6" s="88"/>
    </row>
    <row r="7" spans="2:41" s="8" customFormat="1" ht="15" customHeight="1">
      <c r="B7" s="759"/>
      <c r="C7" s="759"/>
      <c r="D7" s="759"/>
      <c r="E7" s="759"/>
      <c r="F7" s="759"/>
      <c r="G7" s="759"/>
      <c r="H7" s="759"/>
      <c r="I7" s="759"/>
      <c r="J7" s="759"/>
      <c r="L7" s="547"/>
      <c r="M7" s="545"/>
      <c r="N7" s="545"/>
      <c r="O7" s="545"/>
      <c r="P7" s="545"/>
      <c r="Q7" s="548"/>
      <c r="R7"/>
      <c r="S7"/>
      <c r="T7"/>
      <c r="U7"/>
      <c r="V7"/>
      <c r="AC7" s="32"/>
      <c r="AO7" s="88"/>
    </row>
    <row r="8" spans="2:41" s="8" customFormat="1" ht="15" customHeight="1">
      <c r="L8" s="547"/>
      <c r="M8" s="545"/>
      <c r="N8" s="545"/>
      <c r="O8" s="545"/>
      <c r="P8" s="545"/>
      <c r="Q8" s="548"/>
      <c r="R8"/>
      <c r="S8"/>
      <c r="T8"/>
      <c r="U8"/>
      <c r="V8"/>
      <c r="AC8" s="32"/>
      <c r="AO8" s="88"/>
    </row>
    <row r="9" spans="2:41" s="8" customFormat="1" ht="15" customHeight="1">
      <c r="B9" s="155" t="s">
        <v>1055</v>
      </c>
      <c r="L9" s="547"/>
      <c r="M9" s="545"/>
      <c r="N9" s="545"/>
      <c r="O9" s="545"/>
      <c r="P9" s="545"/>
      <c r="Q9" s="548"/>
      <c r="R9"/>
      <c r="S9"/>
      <c r="T9"/>
      <c r="U9"/>
      <c r="V9"/>
      <c r="AC9" s="32"/>
      <c r="AO9" s="88"/>
    </row>
    <row r="10" spans="2:41" s="8" customFormat="1" ht="15" customHeight="1">
      <c r="B10" s="96" t="s">
        <v>1056</v>
      </c>
      <c r="L10" s="547"/>
      <c r="M10" s="545"/>
      <c r="N10" s="545"/>
      <c r="O10" s="545"/>
      <c r="P10" s="545"/>
      <c r="Q10" s="548"/>
      <c r="R10"/>
      <c r="S10"/>
      <c r="T10"/>
      <c r="U10"/>
      <c r="V10"/>
      <c r="AC10" s="32"/>
      <c r="AO10" s="88"/>
    </row>
    <row r="11" spans="2:41" s="8" customFormat="1" ht="15" customHeight="1">
      <c r="I11" s="268"/>
      <c r="L11" s="547"/>
      <c r="M11" s="545"/>
      <c r="N11" s="545"/>
      <c r="O11" s="545"/>
      <c r="P11" s="545"/>
      <c r="Q11" s="548"/>
      <c r="R11"/>
      <c r="S11"/>
      <c r="T11"/>
      <c r="U11"/>
      <c r="V11"/>
      <c r="AC11" s="32"/>
      <c r="AO11" s="88"/>
    </row>
    <row r="12" spans="2:41" s="8" customFormat="1" ht="15" customHeight="1">
      <c r="B12" s="155" t="s">
        <v>1057</v>
      </c>
      <c r="I12" s="268"/>
      <c r="L12" s="547"/>
      <c r="M12" s="545"/>
      <c r="N12" s="545"/>
      <c r="O12" s="545"/>
      <c r="P12" s="545"/>
      <c r="Q12" s="548"/>
      <c r="R12"/>
      <c r="S12"/>
      <c r="T12"/>
      <c r="U12"/>
      <c r="V12"/>
      <c r="AC12" s="32"/>
      <c r="AO12" s="88"/>
    </row>
    <row r="13" spans="2:41" s="8" customFormat="1" ht="15" customHeight="1">
      <c r="B13" s="720" t="s">
        <v>1058</v>
      </c>
      <c r="I13" s="268"/>
      <c r="L13" s="547"/>
      <c r="M13" s="545"/>
      <c r="N13" s="545"/>
      <c r="O13" s="545"/>
      <c r="P13" s="545"/>
      <c r="Q13" s="548"/>
      <c r="R13"/>
      <c r="S13"/>
      <c r="T13"/>
      <c r="U13"/>
      <c r="V13"/>
      <c r="AC13" s="32"/>
      <c r="AO13" s="88"/>
    </row>
    <row r="14" spans="2:41" s="8" customFormat="1" ht="15" customHeight="1">
      <c r="I14" s="268"/>
      <c r="L14" s="549" t="s">
        <v>806</v>
      </c>
      <c r="M14" s="545"/>
      <c r="N14" s="545"/>
      <c r="O14" s="545"/>
      <c r="P14" s="545"/>
      <c r="Q14" s="550" t="s">
        <v>458</v>
      </c>
      <c r="R14"/>
      <c r="S14"/>
      <c r="T14"/>
      <c r="U14"/>
      <c r="V14"/>
      <c r="AC14" s="32"/>
      <c r="AO14" s="88"/>
    </row>
    <row r="15" spans="2:41" s="8" customFormat="1" ht="15" customHeight="1">
      <c r="B15" s="751" t="s">
        <v>736</v>
      </c>
      <c r="C15" s="751"/>
      <c r="D15" s="751"/>
      <c r="E15" s="751"/>
      <c r="F15" s="751"/>
      <c r="L15" s="549"/>
      <c r="M15" s="545"/>
      <c r="N15" s="545"/>
      <c r="O15" s="545"/>
      <c r="P15" s="545"/>
      <c r="Q15" s="550"/>
      <c r="R15"/>
      <c r="S15"/>
      <c r="T15"/>
      <c r="U15"/>
      <c r="V15"/>
      <c r="AC15" s="32"/>
      <c r="AO15" s="88"/>
    </row>
    <row r="16" spans="2:41" s="8" customFormat="1" ht="15" customHeight="1">
      <c r="B16" s="751"/>
      <c r="C16" s="751"/>
      <c r="D16" s="751"/>
      <c r="E16" s="751"/>
      <c r="F16" s="751"/>
      <c r="L16" s="547"/>
      <c r="M16" s="545"/>
      <c r="N16" s="545"/>
      <c r="O16" s="545"/>
      <c r="P16" s="545"/>
      <c r="Q16" s="548"/>
      <c r="R16"/>
      <c r="S16"/>
      <c r="T16"/>
      <c r="U16"/>
      <c r="V16"/>
      <c r="AC16" s="32"/>
      <c r="AO16" s="88"/>
    </row>
    <row r="17" spans="2:41" s="8" customFormat="1" ht="15" customHeight="1">
      <c r="B17" s="751"/>
      <c r="C17" s="751"/>
      <c r="D17" s="751"/>
      <c r="E17" s="751"/>
      <c r="F17" s="751"/>
      <c r="L17" s="547"/>
      <c r="M17" s="546"/>
      <c r="N17" s="545"/>
      <c r="O17" s="545"/>
      <c r="P17" s="545"/>
      <c r="Q17" s="548"/>
      <c r="AC17" s="32"/>
      <c r="AO17" s="88">
        <f>ROW()</f>
        <v>17</v>
      </c>
    </row>
    <row r="18" spans="2:41" s="8" customFormat="1" ht="15" customHeight="1">
      <c r="B18" s="467"/>
      <c r="C18" s="467"/>
      <c r="D18" s="467"/>
      <c r="E18" s="467"/>
      <c r="F18" s="467"/>
      <c r="L18" s="547"/>
      <c r="M18" s="545"/>
      <c r="N18" s="545"/>
      <c r="O18" s="545"/>
      <c r="P18" s="545"/>
      <c r="Q18" s="548"/>
      <c r="AC18" s="32"/>
      <c r="AO18" s="88"/>
    </row>
    <row r="19" spans="2:41" s="8" customFormat="1" ht="15" customHeight="1">
      <c r="B19" s="155" t="s">
        <v>216</v>
      </c>
      <c r="C19" s="467"/>
      <c r="D19" s="467"/>
      <c r="E19" s="467"/>
      <c r="L19" s="547"/>
      <c r="M19" s="545"/>
      <c r="N19" s="545"/>
      <c r="O19" s="545"/>
      <c r="P19" s="545"/>
      <c r="Q19" s="548"/>
      <c r="AC19" s="32"/>
      <c r="AO19" s="88"/>
    </row>
    <row r="20" spans="2:41" s="8" customFormat="1" ht="15" customHeight="1">
      <c r="B20" s="155" t="s">
        <v>456</v>
      </c>
      <c r="E20" s="326" t="s">
        <v>458</v>
      </c>
      <c r="G20" s="155" t="s">
        <v>455</v>
      </c>
      <c r="J20" s="479" t="s">
        <v>457</v>
      </c>
      <c r="L20" s="547"/>
      <c r="M20" s="545"/>
      <c r="N20" s="545"/>
      <c r="O20" s="545"/>
      <c r="P20" s="545"/>
      <c r="Q20" s="548"/>
      <c r="R20"/>
      <c r="S20"/>
      <c r="T20"/>
      <c r="U20"/>
      <c r="V20"/>
      <c r="AC20" s="32"/>
      <c r="AO20" s="88">
        <f>ROW()</f>
        <v>20</v>
      </c>
    </row>
    <row r="21" spans="2:41" s="8" customFormat="1" ht="15" customHeight="1">
      <c r="F21" s="467"/>
      <c r="L21" s="547"/>
      <c r="M21" s="545"/>
      <c r="N21" s="545"/>
      <c r="O21" s="545"/>
      <c r="P21" s="545"/>
      <c r="Q21" s="548"/>
      <c r="R21"/>
      <c r="S21"/>
      <c r="T21"/>
      <c r="U21"/>
      <c r="V21"/>
      <c r="AC21" s="32"/>
      <c r="AO21" s="88">
        <f>ROW()</f>
        <v>21</v>
      </c>
    </row>
    <row r="22" spans="2:41" s="8" customFormat="1" ht="15" customHeight="1">
      <c r="B22" s="155" t="s">
        <v>1059</v>
      </c>
      <c r="F22" s="467"/>
      <c r="G22" s="479" t="s">
        <v>923</v>
      </c>
      <c r="L22" s="547"/>
      <c r="M22" s="545"/>
      <c r="N22" s="545"/>
      <c r="O22" s="545"/>
      <c r="P22" s="545"/>
      <c r="Q22" s="548"/>
      <c r="R22"/>
      <c r="S22"/>
      <c r="T22"/>
      <c r="AC22" s="32"/>
      <c r="AO22" s="88">
        <f>ROW()</f>
        <v>22</v>
      </c>
    </row>
    <row r="23" spans="2:41" s="8" customFormat="1" ht="15" customHeight="1">
      <c r="F23" s="113"/>
      <c r="G23" s="113"/>
      <c r="H23" s="113"/>
      <c r="I23" s="113"/>
      <c r="J23" s="113"/>
      <c r="K23" s="113"/>
      <c r="L23" s="547"/>
      <c r="M23" s="545"/>
      <c r="N23" s="545"/>
      <c r="O23" s="545"/>
      <c r="P23" s="545"/>
      <c r="Q23" s="548"/>
      <c r="R23"/>
      <c r="S23"/>
      <c r="T23"/>
      <c r="AC23" s="32"/>
      <c r="AO23" s="88">
        <f>ROW()</f>
        <v>23</v>
      </c>
    </row>
    <row r="24" spans="2:41" s="8" customFormat="1" ht="15" customHeight="1">
      <c r="B24" s="755" t="s">
        <v>1060</v>
      </c>
      <c r="C24" s="755"/>
      <c r="D24" s="755"/>
      <c r="E24" s="755"/>
      <c r="F24" s="756" t="s">
        <v>924</v>
      </c>
      <c r="G24" s="757"/>
      <c r="H24" s="757"/>
      <c r="I24" s="757"/>
      <c r="J24" s="757"/>
      <c r="K24" s="757"/>
      <c r="L24" s="547"/>
      <c r="M24" s="545"/>
      <c r="N24" s="545"/>
      <c r="O24" s="545"/>
      <c r="P24" s="545"/>
      <c r="Q24" s="548"/>
      <c r="R24"/>
      <c r="S24"/>
      <c r="T24"/>
      <c r="AC24" s="32"/>
      <c r="AO24" s="88">
        <f>ROW()</f>
        <v>24</v>
      </c>
    </row>
    <row r="25" spans="2:41" s="8" customFormat="1" ht="15" customHeight="1">
      <c r="B25" s="755"/>
      <c r="C25" s="755"/>
      <c r="D25" s="755"/>
      <c r="E25" s="755"/>
      <c r="F25" s="757"/>
      <c r="G25" s="757"/>
      <c r="H25" s="757"/>
      <c r="I25" s="757"/>
      <c r="J25" s="757"/>
      <c r="K25" s="757"/>
      <c r="L25" s="549" t="s">
        <v>806</v>
      </c>
      <c r="M25" s="545"/>
      <c r="N25" s="545"/>
      <c r="O25" s="545"/>
      <c r="P25" s="545"/>
      <c r="Q25" s="550" t="s">
        <v>458</v>
      </c>
      <c r="R25"/>
      <c r="S25"/>
      <c r="T25"/>
      <c r="AC25" s="32"/>
      <c r="AO25" s="88">
        <f>ROW()</f>
        <v>25</v>
      </c>
    </row>
    <row r="26" spans="2:41" s="8" customFormat="1" ht="15" customHeight="1">
      <c r="K26"/>
      <c r="L26" s="549"/>
      <c r="M26" s="545"/>
      <c r="N26" s="545"/>
      <c r="O26" s="545"/>
      <c r="P26" s="545"/>
      <c r="Q26" s="548"/>
      <c r="R26"/>
      <c r="S26"/>
      <c r="T26"/>
      <c r="AC26" s="32"/>
      <c r="AO26" s="88">
        <f>ROW()</f>
        <v>26</v>
      </c>
    </row>
    <row r="27" spans="2:41" s="8" customFormat="1" ht="15" customHeight="1">
      <c r="B27" s="721" t="s">
        <v>811</v>
      </c>
      <c r="K27"/>
      <c r="L27" s="555" t="s">
        <v>804</v>
      </c>
      <c r="M27" s="553"/>
      <c r="N27" s="553"/>
      <c r="O27" s="553"/>
      <c r="P27" s="553"/>
      <c r="Q27" s="554" t="s">
        <v>458</v>
      </c>
      <c r="R27"/>
      <c r="S27"/>
      <c r="T27"/>
      <c r="AC27" s="32"/>
      <c r="AO27" s="88">
        <f>ROW()</f>
        <v>27</v>
      </c>
    </row>
    <row r="28" spans="2:41" s="8" customFormat="1" ht="15" customHeight="1">
      <c r="K28"/>
      <c r="R28"/>
      <c r="S28"/>
      <c r="T28"/>
      <c r="AC28" s="32"/>
      <c r="AO28" s="88">
        <f>ROW()</f>
        <v>28</v>
      </c>
    </row>
    <row r="29" spans="2:41" s="8" customFormat="1" ht="15" customHeight="1">
      <c r="B29" s="758" t="s">
        <v>824</v>
      </c>
      <c r="C29" s="759"/>
      <c r="D29" s="759"/>
      <c r="E29" s="759"/>
      <c r="F29" s="759"/>
      <c r="G29" s="760" t="s">
        <v>458</v>
      </c>
      <c r="K29"/>
      <c r="R29"/>
      <c r="S29"/>
      <c r="T29"/>
      <c r="AC29" s="32"/>
      <c r="AO29" s="88">
        <f>ROW()</f>
        <v>29</v>
      </c>
    </row>
    <row r="30" spans="2:41" s="8" customFormat="1" ht="15" customHeight="1">
      <c r="B30" s="759"/>
      <c r="C30" s="759"/>
      <c r="D30" s="759"/>
      <c r="E30" s="759"/>
      <c r="F30" s="759"/>
      <c r="G30" s="760"/>
      <c r="K30"/>
      <c r="R30"/>
      <c r="S30"/>
      <c r="T30"/>
      <c r="AC30" s="32"/>
      <c r="AO30" s="88">
        <f>ROW()</f>
        <v>30</v>
      </c>
    </row>
    <row r="31" spans="2:41" s="8" customFormat="1" ht="15" customHeight="1">
      <c r="B31" s="567"/>
      <c r="C31" s="567"/>
      <c r="D31" s="567"/>
      <c r="E31" s="567"/>
      <c r="F31" s="567"/>
      <c r="K31"/>
      <c r="R31"/>
      <c r="S31"/>
      <c r="T31"/>
      <c r="AC31" s="32"/>
      <c r="AO31" s="88">
        <f>ROW()</f>
        <v>31</v>
      </c>
    </row>
    <row r="32" spans="2:41" s="8" customFormat="1" ht="15" customHeight="1">
      <c r="B32" s="789" t="s">
        <v>1061</v>
      </c>
      <c r="C32" s="790"/>
      <c r="D32" s="790"/>
      <c r="E32" s="790"/>
      <c r="F32" s="790"/>
      <c r="G32" s="790"/>
      <c r="H32" s="790"/>
      <c r="I32" s="790"/>
      <c r="J32" s="790"/>
      <c r="K32" s="791"/>
      <c r="R32"/>
      <c r="S32"/>
      <c r="T32"/>
      <c r="AC32" s="32"/>
      <c r="AO32" s="88">
        <f>ROW()</f>
        <v>32</v>
      </c>
    </row>
    <row r="33" spans="1:41" s="8" customFormat="1" ht="15" customHeight="1">
      <c r="B33" s="792"/>
      <c r="C33" s="793"/>
      <c r="D33" s="793"/>
      <c r="E33" s="793"/>
      <c r="F33" s="793"/>
      <c r="G33" s="793"/>
      <c r="H33" s="793"/>
      <c r="I33" s="793"/>
      <c r="J33" s="793"/>
      <c r="K33" s="794"/>
      <c r="R33"/>
      <c r="S33"/>
      <c r="T33"/>
      <c r="AC33" s="32"/>
      <c r="AO33" s="88">
        <f>ROW()</f>
        <v>33</v>
      </c>
    </row>
    <row r="34" spans="1:41" s="8" customFormat="1" ht="15" customHeight="1">
      <c r="B34" s="792"/>
      <c r="C34" s="793"/>
      <c r="D34" s="793"/>
      <c r="E34" s="793"/>
      <c r="F34" s="793"/>
      <c r="G34" s="793"/>
      <c r="H34" s="793"/>
      <c r="I34" s="793"/>
      <c r="J34" s="793"/>
      <c r="K34" s="794"/>
      <c r="R34"/>
      <c r="S34"/>
      <c r="T34"/>
      <c r="AC34" s="32"/>
      <c r="AO34" s="88">
        <f>ROW()</f>
        <v>34</v>
      </c>
    </row>
    <row r="35" spans="1:41" ht="15" customHeight="1">
      <c r="B35" s="795"/>
      <c r="C35" s="796"/>
      <c r="D35" s="796"/>
      <c r="E35" s="796"/>
      <c r="F35" s="796"/>
      <c r="G35" s="796"/>
      <c r="H35" s="796"/>
      <c r="I35" s="796"/>
      <c r="J35" s="796"/>
      <c r="K35" s="797"/>
      <c r="M35"/>
      <c r="N35"/>
      <c r="O35"/>
      <c r="P35"/>
      <c r="AO35"/>
    </row>
    <row r="36" spans="1:41" ht="15" customHeight="1">
      <c r="B36" s="122"/>
      <c r="C36" s="122"/>
      <c r="D36" s="122"/>
      <c r="E36" s="122"/>
      <c r="F36" s="122"/>
      <c r="G36" s="122"/>
      <c r="H36" s="122"/>
      <c r="I36" s="122"/>
      <c r="J36" s="122"/>
      <c r="K36" s="122"/>
      <c r="M36"/>
      <c r="N36"/>
      <c r="O36"/>
      <c r="P36"/>
      <c r="AO36"/>
    </row>
    <row r="37" spans="1:41" s="8" customFormat="1" ht="15" customHeight="1">
      <c r="B37" s="155" t="s">
        <v>766</v>
      </c>
      <c r="C37" s="199"/>
      <c r="D37" s="199"/>
      <c r="E37" s="199"/>
      <c r="G37" s="478" t="s">
        <v>458</v>
      </c>
      <c r="K37"/>
      <c r="R37"/>
      <c r="S37"/>
      <c r="T37"/>
      <c r="AC37" s="32"/>
      <c r="AO37" s="88">
        <f>ROW()</f>
        <v>37</v>
      </c>
    </row>
    <row r="38" spans="1:41" s="8" customFormat="1" ht="15" customHeight="1">
      <c r="B38" s="155" t="s">
        <v>638</v>
      </c>
      <c r="C38" s="199"/>
      <c r="D38" s="199"/>
      <c r="E38" s="199"/>
      <c r="G38" s="478" t="s">
        <v>458</v>
      </c>
      <c r="H38" s="199"/>
      <c r="K38"/>
      <c r="R38"/>
      <c r="S38"/>
      <c r="T38"/>
      <c r="AC38" s="32"/>
      <c r="AO38" s="88">
        <f>ROW()</f>
        <v>38</v>
      </c>
    </row>
    <row r="39" spans="1:41" s="8" customFormat="1" ht="15" customHeight="1">
      <c r="B39" s="155" t="s">
        <v>821</v>
      </c>
      <c r="C39"/>
      <c r="D39"/>
      <c r="E39"/>
      <c r="F39"/>
      <c r="G39" s="478" t="s">
        <v>458</v>
      </c>
      <c r="H39" s="199"/>
      <c r="I39" s="199"/>
      <c r="J39" s="199"/>
      <c r="K39"/>
      <c r="R39"/>
      <c r="S39"/>
      <c r="T39"/>
      <c r="AC39" s="32"/>
      <c r="AO39" s="88">
        <f>ROW()</f>
        <v>39</v>
      </c>
    </row>
    <row r="40" spans="1:41" ht="15" customHeight="1">
      <c r="A40" s="8"/>
      <c r="B40" s="155" t="s">
        <v>822</v>
      </c>
      <c r="G40" s="478" t="s">
        <v>458</v>
      </c>
      <c r="AO40" s="88">
        <f>ROW()</f>
        <v>40</v>
      </c>
    </row>
    <row r="41" spans="1:41" ht="15" customHeight="1">
      <c r="B41" s="155" t="s">
        <v>823</v>
      </c>
      <c r="G41" s="478" t="s">
        <v>458</v>
      </c>
      <c r="AO41" s="88">
        <f>ROW()</f>
        <v>41</v>
      </c>
    </row>
    <row r="42" spans="1:41" ht="15" customHeight="1">
      <c r="B42" s="8" t="s">
        <v>803</v>
      </c>
      <c r="C42" s="8"/>
      <c r="D42" s="8"/>
      <c r="E42" s="8"/>
      <c r="F42" s="8"/>
      <c r="G42" s="326" t="s">
        <v>458</v>
      </c>
      <c r="AO42" s="88">
        <f>ROW()</f>
        <v>42</v>
      </c>
    </row>
    <row r="43" spans="1:41" ht="15" customHeight="1">
      <c r="AO43" s="88">
        <f>ROW()</f>
        <v>43</v>
      </c>
    </row>
    <row r="44" spans="1:41" ht="15" customHeight="1">
      <c r="B44" s="59" t="s">
        <v>104</v>
      </c>
      <c r="AO44" s="88">
        <f>ROW()</f>
        <v>44</v>
      </c>
    </row>
    <row r="45" spans="1:41" ht="15" customHeight="1">
      <c r="AO45" s="88">
        <f>ROW()</f>
        <v>45</v>
      </c>
    </row>
    <row r="46" spans="1:41" ht="15" customHeight="1">
      <c r="B46" s="740" t="s">
        <v>747</v>
      </c>
      <c r="C46" s="740"/>
      <c r="D46" s="740"/>
      <c r="E46" s="740"/>
      <c r="F46" s="740"/>
      <c r="G46" s="740"/>
      <c r="H46" s="740"/>
      <c r="I46" s="740"/>
      <c r="J46" s="740"/>
      <c r="AO46" s="88">
        <f>ROW()</f>
        <v>46</v>
      </c>
    </row>
    <row r="47" spans="1:41" ht="15" customHeight="1">
      <c r="B47" s="740"/>
      <c r="C47" s="740"/>
      <c r="D47" s="740"/>
      <c r="E47" s="740"/>
      <c r="F47" s="740"/>
      <c r="G47" s="740"/>
      <c r="H47" s="740"/>
      <c r="I47" s="740"/>
      <c r="J47" s="740"/>
      <c r="AO47" s="88">
        <f>ROW()</f>
        <v>47</v>
      </c>
    </row>
    <row r="48" spans="1:41" ht="15" customHeight="1">
      <c r="B48" s="740"/>
      <c r="C48" s="740"/>
      <c r="D48" s="740"/>
      <c r="E48" s="740"/>
      <c r="F48" s="740"/>
      <c r="G48" s="740"/>
      <c r="H48" s="740"/>
      <c r="I48" s="740"/>
      <c r="J48" s="740"/>
      <c r="AO48" s="88">
        <f>ROW()</f>
        <v>48</v>
      </c>
    </row>
    <row r="49" spans="1:41" ht="15" customHeight="1">
      <c r="B49" s="1"/>
      <c r="E49" s="8"/>
      <c r="AO49" s="88">
        <f>ROW()</f>
        <v>49</v>
      </c>
    </row>
    <row r="50" spans="1:41" s="48" customFormat="1" ht="15" customHeight="1">
      <c r="A50"/>
      <c r="B50" s="740" t="s">
        <v>674</v>
      </c>
      <c r="C50" s="740"/>
      <c r="D50" s="740"/>
      <c r="E50" s="740"/>
      <c r="F50" s="740"/>
      <c r="G50" s="740"/>
      <c r="H50" s="740"/>
      <c r="I50" s="740"/>
      <c r="J50" s="740"/>
      <c r="K50"/>
      <c r="R50"/>
      <c r="S50"/>
      <c r="T50"/>
      <c r="U50"/>
      <c r="V50"/>
      <c r="AO50" s="88">
        <f>ROW()</f>
        <v>50</v>
      </c>
    </row>
    <row r="51" spans="1:41" s="48" customFormat="1" ht="15" customHeight="1">
      <c r="B51" s="740"/>
      <c r="C51" s="740"/>
      <c r="D51" s="740"/>
      <c r="E51" s="740"/>
      <c r="F51" s="740"/>
      <c r="G51" s="740"/>
      <c r="H51" s="740"/>
      <c r="I51" s="740"/>
      <c r="J51" s="740"/>
      <c r="K51"/>
      <c r="R51"/>
      <c r="S51"/>
      <c r="T51"/>
      <c r="U51"/>
      <c r="V51"/>
      <c r="AO51" s="88">
        <f>ROW()</f>
        <v>51</v>
      </c>
    </row>
    <row r="52" spans="1:41" s="48" customFormat="1" ht="15" customHeight="1">
      <c r="B52" s="740"/>
      <c r="C52" s="740"/>
      <c r="D52" s="740"/>
      <c r="E52" s="740"/>
      <c r="F52" s="740"/>
      <c r="G52" s="740"/>
      <c r="H52" s="740"/>
      <c r="I52" s="740"/>
      <c r="J52" s="740"/>
      <c r="K52"/>
      <c r="R52"/>
      <c r="S52"/>
      <c r="T52"/>
      <c r="U52"/>
      <c r="V52"/>
      <c r="AO52" s="88">
        <f>ROW()</f>
        <v>52</v>
      </c>
    </row>
    <row r="53" spans="1:41" s="48" customFormat="1" ht="15" customHeight="1">
      <c r="C53" s="69"/>
      <c r="D53" s="69"/>
      <c r="E53" s="69"/>
      <c r="F53" s="69"/>
      <c r="G53" s="69"/>
      <c r="H53" s="69"/>
      <c r="I53" s="69"/>
      <c r="J53" s="69"/>
      <c r="K53"/>
      <c r="R53"/>
      <c r="S53"/>
      <c r="T53"/>
      <c r="U53"/>
      <c r="V53"/>
      <c r="AO53" s="88">
        <f>ROW()</f>
        <v>53</v>
      </c>
    </row>
    <row r="54" spans="1:41" s="48" customFormat="1" ht="15" customHeight="1">
      <c r="B54" s="153" t="s">
        <v>675</v>
      </c>
      <c r="K54"/>
      <c r="R54"/>
      <c r="S54"/>
      <c r="T54"/>
      <c r="U54"/>
      <c r="V54"/>
      <c r="AO54" s="88">
        <f>ROW()</f>
        <v>54</v>
      </c>
    </row>
    <row r="55" spans="1:41" s="48" customFormat="1" ht="15" customHeight="1">
      <c r="K55"/>
      <c r="R55"/>
      <c r="S55"/>
      <c r="T55"/>
      <c r="U55"/>
      <c r="V55"/>
      <c r="W55" s="32"/>
      <c r="X55" s="32"/>
      <c r="Y55" s="32"/>
      <c r="Z55" s="32"/>
      <c r="AA55" s="32"/>
      <c r="AB55" s="32"/>
      <c r="AO55" s="88">
        <f>ROW()</f>
        <v>55</v>
      </c>
    </row>
    <row r="56" spans="1:41" s="48" customFormat="1" ht="15" customHeight="1">
      <c r="B56" s="740" t="s">
        <v>459</v>
      </c>
      <c r="C56" s="740"/>
      <c r="D56" s="740"/>
      <c r="E56" s="740"/>
      <c r="F56" s="740"/>
      <c r="G56" s="740"/>
      <c r="H56" s="740"/>
      <c r="I56" s="740"/>
      <c r="J56" s="740"/>
      <c r="K56"/>
      <c r="R56"/>
      <c r="S56"/>
      <c r="T56"/>
      <c r="U56"/>
      <c r="V56"/>
      <c r="AO56" s="88">
        <f>ROW()</f>
        <v>56</v>
      </c>
    </row>
    <row r="57" spans="1:41" s="48" customFormat="1" ht="15" customHeight="1">
      <c r="B57" s="740"/>
      <c r="C57" s="740"/>
      <c r="D57" s="740"/>
      <c r="E57" s="740"/>
      <c r="F57" s="740"/>
      <c r="G57" s="740"/>
      <c r="H57" s="740"/>
      <c r="I57" s="740"/>
      <c r="J57" s="740"/>
      <c r="K57"/>
      <c r="R57"/>
      <c r="S57"/>
      <c r="T57"/>
      <c r="U57"/>
      <c r="V57"/>
      <c r="AO57" s="88">
        <f>ROW()</f>
        <v>57</v>
      </c>
    </row>
    <row r="58" spans="1:41" ht="15" customHeight="1">
      <c r="A58" s="48"/>
      <c r="AO58" s="88">
        <f>ROW()</f>
        <v>58</v>
      </c>
    </row>
    <row r="59" spans="1:41" ht="15" customHeight="1">
      <c r="B59" s="59" t="s">
        <v>27</v>
      </c>
      <c r="AO59" s="88">
        <f>ROW()</f>
        <v>59</v>
      </c>
    </row>
    <row r="60" spans="1:41" ht="15" customHeight="1">
      <c r="AO60" s="88">
        <f>ROW()</f>
        <v>60</v>
      </c>
    </row>
    <row r="61" spans="1:41" ht="15" customHeight="1">
      <c r="B61" s="740" t="s">
        <v>744</v>
      </c>
      <c r="C61" s="740"/>
      <c r="D61" s="740"/>
      <c r="E61" s="740"/>
      <c r="F61" s="740"/>
      <c r="G61" s="740"/>
      <c r="H61" s="740"/>
      <c r="I61" s="740"/>
      <c r="J61" s="740"/>
      <c r="K61" s="740"/>
      <c r="AO61" s="88">
        <f>ROW()</f>
        <v>61</v>
      </c>
    </row>
    <row r="62" spans="1:41" ht="15" customHeight="1">
      <c r="B62" s="740"/>
      <c r="C62" s="740"/>
      <c r="D62" s="740"/>
      <c r="E62" s="740"/>
      <c r="F62" s="740"/>
      <c r="G62" s="740"/>
      <c r="H62" s="740"/>
      <c r="I62" s="740"/>
      <c r="J62" s="740"/>
      <c r="K62" s="740"/>
      <c r="AO62" s="88">
        <f>ROW()</f>
        <v>62</v>
      </c>
    </row>
    <row r="63" spans="1:41" ht="15" customHeight="1">
      <c r="AO63" s="88">
        <f>ROW()</f>
        <v>63</v>
      </c>
    </row>
    <row r="64" spans="1:41" ht="15" customHeight="1">
      <c r="B64" s="741" t="s">
        <v>362</v>
      </c>
      <c r="C64" s="741"/>
      <c r="D64" s="741"/>
      <c r="E64" s="741"/>
      <c r="F64" s="741"/>
      <c r="G64" s="741"/>
      <c r="H64" s="741"/>
      <c r="I64" s="741"/>
      <c r="J64" s="742" t="str">
        <f>CONCATENATE("Despite appearances, value in Cell J",AO67, " is value inputted for electricity only. Values for the other 5 sectors may be found in their respective cells O",Electricity!AP4,".")</f>
        <v>Despite appearances, value in Cell J67 is value inputted for electricity only. Values for the other 5 sectors may be found in their respective cells O4.</v>
      </c>
      <c r="K64" s="743"/>
      <c r="L64" s="744"/>
      <c r="AO64" s="88">
        <f>ROW()</f>
        <v>64</v>
      </c>
    </row>
    <row r="65" spans="1:41" ht="15" customHeight="1">
      <c r="B65" s="741"/>
      <c r="C65" s="741"/>
      <c r="D65" s="741"/>
      <c r="E65" s="741"/>
      <c r="F65" s="741"/>
      <c r="G65" s="741"/>
      <c r="H65" s="741"/>
      <c r="I65" s="741"/>
      <c r="J65" s="745"/>
      <c r="K65" s="746"/>
      <c r="L65" s="747"/>
      <c r="AO65" s="88">
        <f>ROW()</f>
        <v>65</v>
      </c>
    </row>
    <row r="66" spans="1:41" ht="15" customHeight="1">
      <c r="B66" s="74"/>
      <c r="C66" s="74"/>
      <c r="D66" s="74"/>
      <c r="E66" s="74"/>
      <c r="F66" s="74"/>
      <c r="J66" s="748"/>
      <c r="K66" s="749"/>
      <c r="L66" s="750"/>
      <c r="AO66" s="88">
        <f>ROW()</f>
        <v>66</v>
      </c>
    </row>
    <row r="67" spans="1:41" s="8" customFormat="1" ht="15" customHeight="1">
      <c r="A67"/>
      <c r="B67" s="8" t="s">
        <v>306</v>
      </c>
      <c r="H67" s="74"/>
      <c r="I67"/>
      <c r="J67" s="323">
        <f>Baucus!E50*Parameters!H15/Parameters!H14</f>
        <v>55.405615062708264</v>
      </c>
      <c r="K67"/>
      <c r="L67"/>
      <c r="R67"/>
      <c r="S67"/>
      <c r="T67"/>
      <c r="AO67" s="88">
        <f>ROW()</f>
        <v>67</v>
      </c>
    </row>
    <row r="68" spans="1:41" ht="15" customHeight="1">
      <c r="A68" s="8"/>
      <c r="B68" s="74"/>
      <c r="C68" s="74"/>
      <c r="D68" s="74"/>
      <c r="E68" s="74"/>
      <c r="F68" s="74"/>
      <c r="G68" s="74"/>
      <c r="H68" s="74"/>
      <c r="J68" s="74"/>
      <c r="K68" s="138"/>
      <c r="AO68" s="88">
        <f>ROW()</f>
        <v>68</v>
      </c>
    </row>
    <row r="69" spans="1:41" ht="15" customHeight="1">
      <c r="B69" s="752" t="s">
        <v>807</v>
      </c>
      <c r="C69" s="752"/>
      <c r="D69" s="752"/>
      <c r="E69" s="752"/>
      <c r="F69" s="752"/>
      <c r="G69" s="8"/>
      <c r="H69" s="74"/>
      <c r="J69" s="75">
        <v>1</v>
      </c>
      <c r="N69" s="70"/>
      <c r="O69" s="48"/>
      <c r="P69" s="48"/>
      <c r="Q69" s="48"/>
      <c r="R69" s="48"/>
      <c r="S69" s="48"/>
      <c r="T69" s="48"/>
      <c r="AO69" s="88">
        <f>ROW()</f>
        <v>69</v>
      </c>
    </row>
    <row r="70" spans="1:41" ht="15" customHeight="1">
      <c r="B70" s="752"/>
      <c r="C70" s="752"/>
      <c r="D70" s="752"/>
      <c r="E70" s="752"/>
      <c r="F70" s="752"/>
      <c r="G70" s="8"/>
      <c r="H70" s="74"/>
      <c r="O70"/>
      <c r="P70"/>
      <c r="AO70" s="88">
        <f>ROW()</f>
        <v>70</v>
      </c>
    </row>
    <row r="71" spans="1:41" ht="15" customHeight="1">
      <c r="B71" s="806" t="str">
        <f>CONCATENATE("1. If you selected '1,' the initial tax amount in Cell J",AO67, " above will increment each year at the uniform annual rate shown in Cell J",AO71, ".")</f>
        <v>1. If you selected '1,' the initial tax amount in Cell J67 above will increment each year at the uniform annual rate shown in Cell J71.</v>
      </c>
      <c r="C71" s="806"/>
      <c r="D71" s="806"/>
      <c r="E71" s="806"/>
      <c r="F71" s="806"/>
      <c r="G71" s="806"/>
      <c r="H71" s="806"/>
      <c r="J71" s="779">
        <v>0</v>
      </c>
      <c r="K71" s="89"/>
      <c r="O71"/>
      <c r="P71"/>
      <c r="AO71" s="88">
        <f>ROW()</f>
        <v>71</v>
      </c>
    </row>
    <row r="72" spans="1:41" ht="15" customHeight="1">
      <c r="B72" s="806"/>
      <c r="C72" s="806"/>
      <c r="D72" s="806"/>
      <c r="E72" s="806"/>
      <c r="F72" s="806"/>
      <c r="G72" s="806"/>
      <c r="H72" s="806"/>
      <c r="J72" s="780"/>
      <c r="K72" s="138"/>
      <c r="N72" s="135"/>
      <c r="O72" s="58"/>
      <c r="P72" s="58"/>
      <c r="Q72" s="58"/>
      <c r="R72" s="58"/>
      <c r="S72" s="58"/>
      <c r="T72" s="58"/>
      <c r="AO72" s="88">
        <f>ROW()</f>
        <v>72</v>
      </c>
    </row>
    <row r="73" spans="1:41" ht="15" customHeight="1">
      <c r="B73" s="91" t="str">
        <f>CONCATENATE("(Example: if initial rate in Row ",AO67, " box is $10, and increment rate in Row ",AO71, " box is $5, then Year 2 tax rate would be $15, Year 3 rate $20, etc.)")</f>
        <v>(Example: if initial rate in Row 67 box is $10, and increment rate in Row 71 box is $5, then Year 2 tax rate would be $15, Year 3 rate $20, etc.)</v>
      </c>
      <c r="K73" s="71"/>
      <c r="L73" s="776" t="str">
        <f>CONCATENATE("% figure is irrelevant if Option 1 was chosen in box in Row ",AO69,"")</f>
        <v>% figure is irrelevant if Option 1 was chosen in box in Row 69</v>
      </c>
      <c r="M73" s="736"/>
      <c r="O73"/>
      <c r="P73"/>
      <c r="T73" s="79"/>
      <c r="AO73" s="88">
        <f>ROW()</f>
        <v>73</v>
      </c>
    </row>
    <row r="74" spans="1:41" ht="15" customHeight="1">
      <c r="B74" s="1" t="s">
        <v>218</v>
      </c>
      <c r="K74" s="71"/>
      <c r="L74" s="737"/>
      <c r="M74" s="739"/>
      <c r="T74" s="79"/>
      <c r="AO74" s="88">
        <f>ROW()</f>
        <v>74</v>
      </c>
    </row>
    <row r="75" spans="1:41" ht="15" customHeight="1">
      <c r="B75" s="134" t="s">
        <v>808</v>
      </c>
      <c r="C75" s="55"/>
      <c r="D75" s="55"/>
      <c r="E75" s="55"/>
      <c r="F75" s="55"/>
      <c r="G75" s="55"/>
      <c r="H75" s="55"/>
      <c r="J75" s="452">
        <v>5.6000000000000001E-2</v>
      </c>
      <c r="K75" s="168"/>
      <c r="L75" s="777"/>
      <c r="M75" s="778"/>
      <c r="AO75" s="88">
        <f>ROW()</f>
        <v>75</v>
      </c>
    </row>
    <row r="76" spans="1:41" ht="15" customHeight="1">
      <c r="B76" s="761" t="s">
        <v>433</v>
      </c>
      <c r="C76" s="762"/>
      <c r="D76" s="762"/>
      <c r="E76" s="762"/>
      <c r="F76" s="762"/>
      <c r="G76" s="762"/>
      <c r="H76" s="762"/>
      <c r="I76" s="762"/>
      <c r="AO76" s="88">
        <f>ROW()</f>
        <v>76</v>
      </c>
    </row>
    <row r="77" spans="1:41" ht="15" customHeight="1">
      <c r="B77" s="762"/>
      <c r="C77" s="762"/>
      <c r="D77" s="762"/>
      <c r="E77" s="762"/>
      <c r="F77" s="762"/>
      <c r="G77" s="762"/>
      <c r="H77" s="762"/>
      <c r="I77" s="762"/>
      <c r="L77" s="776" t="str">
        <f>CONCATENATE("Model assumes avg annual 2010-2035 inflation rate of ",ROUND(100*(AEO!N18-1),2),"% and GDP growth rate of ",ROUND(100*(AEO!N17-1),2),"%. See 'AEO' page for source and details.")</f>
        <v>Model assumes avg annual 2010-2035 inflation rate of 1.75% and GDP growth rate of 2.48%. See 'AEO' page for source and details.</v>
      </c>
      <c r="M77" s="735"/>
      <c r="N77" s="735"/>
      <c r="O77" s="736"/>
      <c r="AO77" s="88">
        <f>ROW()</f>
        <v>77</v>
      </c>
    </row>
    <row r="78" spans="1:41" ht="15" customHeight="1">
      <c r="B78" s="223"/>
      <c r="C78" s="278"/>
      <c r="D78" s="278"/>
      <c r="E78" s="278"/>
      <c r="F78" s="278"/>
      <c r="G78" s="223"/>
      <c r="H78" s="223"/>
      <c r="K78" s="47"/>
      <c r="L78" s="737"/>
      <c r="M78" s="787"/>
      <c r="N78" s="787"/>
      <c r="O78" s="739"/>
      <c r="T78" s="136"/>
      <c r="U78" s="71"/>
      <c r="AO78" s="88">
        <f>ROW()</f>
        <v>78</v>
      </c>
    </row>
    <row r="79" spans="1:41" ht="15" customHeight="1">
      <c r="B79" s="755" t="s">
        <v>809</v>
      </c>
      <c r="C79" s="759"/>
      <c r="D79" s="759"/>
      <c r="E79" s="759"/>
      <c r="F79" s="759"/>
      <c r="G79" s="759"/>
      <c r="H79" s="759"/>
      <c r="J79" s="324" t="s">
        <v>398</v>
      </c>
      <c r="K79" s="47"/>
      <c r="L79" s="777"/>
      <c r="M79" s="788"/>
      <c r="N79" s="788"/>
      <c r="O79" s="778"/>
      <c r="T79" s="136"/>
      <c r="U79" s="71"/>
      <c r="AO79" s="88">
        <f>ROW()</f>
        <v>79</v>
      </c>
    </row>
    <row r="80" spans="1:41" ht="15" customHeight="1">
      <c r="B80" s="759"/>
      <c r="C80" s="759"/>
      <c r="D80" s="759"/>
      <c r="E80" s="759"/>
      <c r="F80" s="759"/>
      <c r="G80" s="759"/>
      <c r="H80" s="759"/>
      <c r="K80" s="47"/>
      <c r="T80" s="136"/>
      <c r="U80" s="71"/>
      <c r="AO80" s="88">
        <f>ROW()</f>
        <v>80</v>
      </c>
    </row>
    <row r="81" spans="2:41" ht="15" customHeight="1">
      <c r="B81" s="759"/>
      <c r="C81" s="759"/>
      <c r="D81" s="759"/>
      <c r="E81" s="759"/>
      <c r="F81" s="759"/>
      <c r="G81" s="759"/>
      <c r="H81" s="759"/>
      <c r="K81" s="47"/>
      <c r="L81" s="776" t="s">
        <v>472</v>
      </c>
      <c r="M81" s="736"/>
      <c r="T81" s="136"/>
      <c r="U81" s="71"/>
      <c r="AO81" s="88">
        <f>ROW()</f>
        <v>81</v>
      </c>
    </row>
    <row r="82" spans="2:41" ht="15" customHeight="1">
      <c r="B82" s="14"/>
      <c r="I82" s="47"/>
      <c r="J82" s="71"/>
      <c r="K82" s="47"/>
      <c r="L82" s="737"/>
      <c r="M82" s="739"/>
      <c r="T82" s="136"/>
      <c r="U82" s="71"/>
      <c r="AO82" s="88">
        <f>ROW()</f>
        <v>82</v>
      </c>
    </row>
    <row r="83" spans="2:41" ht="15" customHeight="1">
      <c r="B83" s="8" t="s">
        <v>471</v>
      </c>
      <c r="H83" s="32"/>
      <c r="J83" s="324">
        <v>0</v>
      </c>
      <c r="K83" s="71" t="s">
        <v>5</v>
      </c>
      <c r="L83" s="777"/>
      <c r="M83" s="778"/>
      <c r="T83" s="136"/>
      <c r="U83" s="71"/>
      <c r="AO83" s="88">
        <f>ROW()</f>
        <v>83</v>
      </c>
    </row>
    <row r="84" spans="2:41" ht="15" customHeight="1">
      <c r="B84" s="768" t="str">
        <f>CONCATENATE("This is an optional surtax to the carbon tax. It is incremented per choice made via 'switch' in Cell J",AO69, ". If '1' is selected, the annual increment is only for inflation, and this requires that &lt;Real&gt; was entered in J",AO79, ". If '2' is selected, tax is compounded at percent given in Cell J",AO75, ".")</f>
        <v>This is an optional surtax to the carbon tax. It is incremented per choice made via 'switch' in Cell J69. If '1' is selected, the annual increment is only for inflation, and this requires that &lt;Real&gt; was entered in J79. If '2' is selected, tax is compounded at percent given in Cell J75.</v>
      </c>
      <c r="C84" s="768"/>
      <c r="D84" s="768"/>
      <c r="E84" s="768"/>
      <c r="F84" s="768"/>
      <c r="G84" s="768"/>
      <c r="H84" s="768"/>
      <c r="K84" s="47"/>
      <c r="L84" s="47"/>
      <c r="T84" s="136"/>
      <c r="U84" s="71"/>
      <c r="AO84" s="88">
        <f>ROW()</f>
        <v>84</v>
      </c>
    </row>
    <row r="85" spans="2:41" ht="15" customHeight="1">
      <c r="B85" s="768"/>
      <c r="C85" s="768"/>
      <c r="D85" s="768"/>
      <c r="E85" s="768"/>
      <c r="F85" s="768"/>
      <c r="G85" s="768"/>
      <c r="H85" s="768"/>
      <c r="K85" s="47"/>
      <c r="L85" s="47"/>
      <c r="T85" s="136"/>
      <c r="U85" s="71"/>
      <c r="AO85" s="88">
        <f>ROW()</f>
        <v>85</v>
      </c>
    </row>
    <row r="86" spans="2:41" ht="15" customHeight="1">
      <c r="B86" s="768"/>
      <c r="C86" s="768"/>
      <c r="D86" s="768"/>
      <c r="E86" s="768"/>
      <c r="F86" s="768"/>
      <c r="G86" s="768"/>
      <c r="H86" s="768"/>
      <c r="K86" s="47"/>
      <c r="L86" s="47"/>
      <c r="T86" s="136"/>
      <c r="U86" s="71"/>
      <c r="AO86" s="88">
        <f>ROW()</f>
        <v>86</v>
      </c>
    </row>
    <row r="87" spans="2:41" ht="15" customHeight="1">
      <c r="B87" s="224" t="s">
        <v>335</v>
      </c>
      <c r="C87" s="223"/>
      <c r="D87" s="223"/>
      <c r="E87" s="223"/>
      <c r="F87" s="223"/>
      <c r="G87" s="223"/>
      <c r="H87" s="223"/>
      <c r="K87" s="47"/>
      <c r="L87" s="47"/>
      <c r="T87" s="136"/>
      <c r="U87" s="71"/>
      <c r="AO87" s="88">
        <f>ROW()</f>
        <v>87</v>
      </c>
    </row>
    <row r="88" spans="2:41" ht="15" customHeight="1">
      <c r="B88" s="223"/>
      <c r="C88" s="227" t="s">
        <v>108</v>
      </c>
      <c r="D88" s="227" t="s">
        <v>307</v>
      </c>
      <c r="E88" s="227" t="s">
        <v>308</v>
      </c>
      <c r="F88" s="227" t="s">
        <v>162</v>
      </c>
      <c r="G88" s="223"/>
      <c r="H88" s="223"/>
      <c r="K88" s="47"/>
      <c r="L88" s="47"/>
      <c r="T88" s="136"/>
      <c r="U88" s="71"/>
      <c r="AO88" s="88">
        <f>ROW()</f>
        <v>88</v>
      </c>
    </row>
    <row r="89" spans="2:41" ht="15" customHeight="1">
      <c r="B89" s="223"/>
      <c r="C89" s="226" t="s">
        <v>309</v>
      </c>
      <c r="D89" s="226" t="s">
        <v>310</v>
      </c>
      <c r="E89" s="226" t="s">
        <v>309</v>
      </c>
      <c r="F89" s="226" t="s">
        <v>310</v>
      </c>
      <c r="G89" s="223"/>
      <c r="H89" s="223"/>
      <c r="K89" s="47"/>
      <c r="T89" s="136"/>
      <c r="U89" s="71"/>
      <c r="AO89" s="88">
        <f>ROW()</f>
        <v>89</v>
      </c>
    </row>
    <row r="90" spans="2:41" ht="15" customHeight="1">
      <c r="C90" s="223"/>
      <c r="D90" s="223"/>
      <c r="E90" s="223"/>
      <c r="F90" s="223"/>
      <c r="G90" s="223"/>
      <c r="H90" s="223"/>
      <c r="K90" s="47"/>
      <c r="L90" s="47"/>
      <c r="T90" s="136"/>
      <c r="U90" s="71"/>
      <c r="AO90" s="88">
        <f>ROW()</f>
        <v>90</v>
      </c>
    </row>
    <row r="91" spans="2:41" ht="15" customHeight="1">
      <c r="B91" s="8" t="s">
        <v>395</v>
      </c>
      <c r="C91" s="223"/>
      <c r="D91" s="223"/>
      <c r="E91" s="223"/>
      <c r="F91" s="223"/>
      <c r="G91" s="223"/>
      <c r="H91" s="223"/>
      <c r="I91" s="223"/>
      <c r="J91" s="223"/>
      <c r="K91" s="47"/>
      <c r="L91" s="47"/>
      <c r="P91" s="474" t="s">
        <v>605</v>
      </c>
      <c r="Q91" s="475"/>
      <c r="R91" s="475"/>
      <c r="S91" s="475"/>
      <c r="T91" s="476"/>
      <c r="U91" s="475"/>
      <c r="V91" s="475"/>
      <c r="W91" s="475"/>
      <c r="X91" s="475"/>
      <c r="Y91" s="475"/>
      <c r="Z91" s="475"/>
      <c r="AA91" s="475"/>
      <c r="AB91" s="475"/>
      <c r="AC91" s="475"/>
      <c r="AD91" s="475"/>
      <c r="AE91" s="475"/>
      <c r="AF91" s="475"/>
      <c r="AG91" s="475"/>
      <c r="AH91" s="475"/>
      <c r="AI91" s="475"/>
      <c r="AJ91" s="475"/>
      <c r="AK91" s="475"/>
      <c r="AL91" s="475"/>
      <c r="AM91" s="477"/>
      <c r="AO91" s="88">
        <f>ROW()</f>
        <v>91</v>
      </c>
    </row>
    <row r="92" spans="2:41" ht="15" customHeight="1">
      <c r="B92" s="77" t="s">
        <v>473</v>
      </c>
      <c r="C92" s="41"/>
      <c r="D92" s="41"/>
      <c r="E92" s="41"/>
      <c r="F92" s="41"/>
      <c r="G92" s="41"/>
      <c r="H92" s="41"/>
      <c r="I92" s="41"/>
      <c r="J92" s="324">
        <v>2015</v>
      </c>
      <c r="K92" s="114"/>
      <c r="L92" s="466"/>
      <c r="M92" s="501"/>
      <c r="N92" s="466"/>
      <c r="O92" s="501" t="s">
        <v>449</v>
      </c>
      <c r="P92" s="460" t="str">
        <f>IF(P95&gt;=$J92,"YES","NO")</f>
        <v>NO</v>
      </c>
      <c r="Q92" s="461" t="str">
        <f>IF(Q95&gt;=$J92,"YES","NO")</f>
        <v>YES</v>
      </c>
      <c r="R92" s="461" t="str">
        <f t="shared" ref="R92:AM92" si="0">IF(R95&gt;$J92,"YES","NO")</f>
        <v>YES</v>
      </c>
      <c r="S92" s="461" t="str">
        <f t="shared" si="0"/>
        <v>YES</v>
      </c>
      <c r="T92" s="461" t="str">
        <f t="shared" si="0"/>
        <v>YES</v>
      </c>
      <c r="U92" s="461" t="str">
        <f t="shared" si="0"/>
        <v>YES</v>
      </c>
      <c r="V92" s="461" t="str">
        <f t="shared" si="0"/>
        <v>YES</v>
      </c>
      <c r="W92" s="461" t="str">
        <f t="shared" si="0"/>
        <v>YES</v>
      </c>
      <c r="X92" s="461" t="str">
        <f t="shared" si="0"/>
        <v>YES</v>
      </c>
      <c r="Y92" s="461" t="str">
        <f t="shared" si="0"/>
        <v>YES</v>
      </c>
      <c r="Z92" s="461" t="str">
        <f t="shared" si="0"/>
        <v>YES</v>
      </c>
      <c r="AA92" s="461" t="str">
        <f t="shared" si="0"/>
        <v>YES</v>
      </c>
      <c r="AB92" s="461" t="str">
        <f t="shared" si="0"/>
        <v>YES</v>
      </c>
      <c r="AC92" s="461" t="str">
        <f t="shared" si="0"/>
        <v>YES</v>
      </c>
      <c r="AD92" s="461" t="str">
        <f t="shared" si="0"/>
        <v>YES</v>
      </c>
      <c r="AE92" s="461" t="str">
        <f t="shared" si="0"/>
        <v>YES</v>
      </c>
      <c r="AF92" s="461" t="str">
        <f t="shared" si="0"/>
        <v>YES</v>
      </c>
      <c r="AG92" s="461" t="str">
        <f t="shared" si="0"/>
        <v>YES</v>
      </c>
      <c r="AH92" s="461" t="str">
        <f t="shared" si="0"/>
        <v>YES</v>
      </c>
      <c r="AI92" s="461" t="str">
        <f t="shared" si="0"/>
        <v>YES</v>
      </c>
      <c r="AJ92" s="461" t="str">
        <f t="shared" si="0"/>
        <v>YES</v>
      </c>
      <c r="AK92" s="461" t="str">
        <f t="shared" si="0"/>
        <v>YES</v>
      </c>
      <c r="AL92" s="461" t="str">
        <f t="shared" si="0"/>
        <v>YES</v>
      </c>
      <c r="AM92" s="462" t="str">
        <f t="shared" si="0"/>
        <v>YES</v>
      </c>
      <c r="AO92" s="88">
        <f>ROW()</f>
        <v>92</v>
      </c>
    </row>
    <row r="93" spans="2:41" ht="15" customHeight="1">
      <c r="B93" s="78" t="s">
        <v>474</v>
      </c>
      <c r="C93" s="44"/>
      <c r="D93" s="44"/>
      <c r="E93" s="44"/>
      <c r="F93" s="44"/>
      <c r="G93" s="44"/>
      <c r="H93" s="44"/>
      <c r="I93" s="44"/>
      <c r="J93" s="324">
        <v>2037</v>
      </c>
      <c r="K93" s="114"/>
      <c r="L93" s="466"/>
      <c r="M93" s="501"/>
      <c r="N93" s="466"/>
      <c r="O93" s="501" t="s">
        <v>448</v>
      </c>
      <c r="P93" s="463" t="str">
        <f t="shared" ref="P93:AM93" si="1">IF(P95&gt;$J93,"YES","NO")</f>
        <v>NO</v>
      </c>
      <c r="Q93" s="464" t="str">
        <f t="shared" si="1"/>
        <v>NO</v>
      </c>
      <c r="R93" s="464" t="str">
        <f t="shared" si="1"/>
        <v>NO</v>
      </c>
      <c r="S93" s="464" t="str">
        <f t="shared" si="1"/>
        <v>NO</v>
      </c>
      <c r="T93" s="464" t="str">
        <f t="shared" si="1"/>
        <v>NO</v>
      </c>
      <c r="U93" s="464" t="str">
        <f t="shared" si="1"/>
        <v>NO</v>
      </c>
      <c r="V93" s="464" t="str">
        <f t="shared" si="1"/>
        <v>NO</v>
      </c>
      <c r="W93" s="464" t="str">
        <f t="shared" si="1"/>
        <v>NO</v>
      </c>
      <c r="X93" s="464" t="str">
        <f t="shared" si="1"/>
        <v>NO</v>
      </c>
      <c r="Y93" s="464" t="str">
        <f t="shared" si="1"/>
        <v>NO</v>
      </c>
      <c r="Z93" s="464" t="str">
        <f t="shared" si="1"/>
        <v>NO</v>
      </c>
      <c r="AA93" s="464" t="str">
        <f t="shared" si="1"/>
        <v>NO</v>
      </c>
      <c r="AB93" s="464" t="str">
        <f t="shared" si="1"/>
        <v>NO</v>
      </c>
      <c r="AC93" s="464" t="str">
        <f t="shared" si="1"/>
        <v>NO</v>
      </c>
      <c r="AD93" s="464" t="str">
        <f t="shared" si="1"/>
        <v>NO</v>
      </c>
      <c r="AE93" s="464" t="str">
        <f t="shared" si="1"/>
        <v>NO</v>
      </c>
      <c r="AF93" s="464" t="str">
        <f t="shared" si="1"/>
        <v>NO</v>
      </c>
      <c r="AG93" s="464" t="str">
        <f t="shared" si="1"/>
        <v>NO</v>
      </c>
      <c r="AH93" s="464" t="str">
        <f t="shared" si="1"/>
        <v>NO</v>
      </c>
      <c r="AI93" s="464" t="str">
        <f t="shared" si="1"/>
        <v>NO</v>
      </c>
      <c r="AJ93" s="464" t="str">
        <f t="shared" si="1"/>
        <v>NO</v>
      </c>
      <c r="AK93" s="464" t="str">
        <f t="shared" si="1"/>
        <v>NO</v>
      </c>
      <c r="AL93" s="464" t="str">
        <f t="shared" si="1"/>
        <v>NO</v>
      </c>
      <c r="AM93" s="465" t="str">
        <f t="shared" si="1"/>
        <v>NO</v>
      </c>
      <c r="AO93" s="88">
        <f>ROW()</f>
        <v>93</v>
      </c>
    </row>
    <row r="94" spans="2:41" ht="15" customHeight="1">
      <c r="B94" s="112"/>
      <c r="C94" s="113"/>
      <c r="D94" s="113"/>
      <c r="E94" s="113"/>
      <c r="F94" s="113"/>
      <c r="G94" s="113"/>
      <c r="H94" s="113"/>
      <c r="I94" s="113"/>
      <c r="J94" s="277"/>
      <c r="K94" s="114"/>
      <c r="L94" s="136"/>
      <c r="M94" s="230"/>
      <c r="O94" s="136"/>
      <c r="P94" s="502">
        <f>IF(P92="NO",0,(IF(AND(P92="YES",P93="NO"),O94+1,O94)))</f>
        <v>0</v>
      </c>
      <c r="Q94" s="503">
        <f>IF(Q92="NO",0,(IF(AND(Q92="YES",Q93="NO"),P94+1,P94)))</f>
        <v>1</v>
      </c>
      <c r="R94" s="503">
        <f t="shared" ref="R94:AM94" si="2">IF(R92="NO",0,(IF(AND(R92="YES",R93="NO"),Q94+1,Q94)))</f>
        <v>2</v>
      </c>
      <c r="S94" s="503">
        <f t="shared" si="2"/>
        <v>3</v>
      </c>
      <c r="T94" s="503">
        <f t="shared" si="2"/>
        <v>4</v>
      </c>
      <c r="U94" s="503">
        <f t="shared" si="2"/>
        <v>5</v>
      </c>
      <c r="V94" s="503">
        <f t="shared" si="2"/>
        <v>6</v>
      </c>
      <c r="W94" s="503">
        <f t="shared" si="2"/>
        <v>7</v>
      </c>
      <c r="X94" s="503">
        <f t="shared" si="2"/>
        <v>8</v>
      </c>
      <c r="Y94" s="503">
        <f t="shared" si="2"/>
        <v>9</v>
      </c>
      <c r="Z94" s="503">
        <f t="shared" si="2"/>
        <v>10</v>
      </c>
      <c r="AA94" s="503">
        <f t="shared" si="2"/>
        <v>11</v>
      </c>
      <c r="AB94" s="503">
        <f t="shared" si="2"/>
        <v>12</v>
      </c>
      <c r="AC94" s="503">
        <f t="shared" si="2"/>
        <v>13</v>
      </c>
      <c r="AD94" s="503">
        <f t="shared" si="2"/>
        <v>14</v>
      </c>
      <c r="AE94" s="503">
        <f t="shared" si="2"/>
        <v>15</v>
      </c>
      <c r="AF94" s="503">
        <f t="shared" si="2"/>
        <v>16</v>
      </c>
      <c r="AG94" s="503">
        <f t="shared" si="2"/>
        <v>17</v>
      </c>
      <c r="AH94" s="503">
        <f t="shared" si="2"/>
        <v>18</v>
      </c>
      <c r="AI94" s="503">
        <f t="shared" si="2"/>
        <v>19</v>
      </c>
      <c r="AJ94" s="503">
        <f t="shared" si="2"/>
        <v>20</v>
      </c>
      <c r="AK94" s="503">
        <f t="shared" si="2"/>
        <v>21</v>
      </c>
      <c r="AL94" s="503">
        <f t="shared" si="2"/>
        <v>22</v>
      </c>
      <c r="AM94" s="504">
        <f t="shared" si="2"/>
        <v>23</v>
      </c>
      <c r="AO94" s="88">
        <f>ROW()</f>
        <v>94</v>
      </c>
    </row>
    <row r="95" spans="2:41" ht="15" customHeight="1">
      <c r="B95" s="8" t="s">
        <v>596</v>
      </c>
      <c r="C95" s="113"/>
      <c r="D95" s="113"/>
      <c r="E95" s="113"/>
      <c r="F95" s="113"/>
      <c r="G95" s="113"/>
      <c r="H95" s="113"/>
      <c r="I95" s="166"/>
      <c r="J95" s="166"/>
      <c r="K95" s="166"/>
      <c r="L95" s="166"/>
      <c r="M95" s="166"/>
      <c r="O95" s="166"/>
      <c r="P95" s="505">
        <v>2012</v>
      </c>
      <c r="Q95" s="506">
        <f>J92</f>
        <v>2015</v>
      </c>
      <c r="R95" s="506">
        <f t="shared" ref="R95:AM95" si="3">Q95+1</f>
        <v>2016</v>
      </c>
      <c r="S95" s="506">
        <f t="shared" si="3"/>
        <v>2017</v>
      </c>
      <c r="T95" s="506">
        <f t="shared" si="3"/>
        <v>2018</v>
      </c>
      <c r="U95" s="506">
        <f t="shared" si="3"/>
        <v>2019</v>
      </c>
      <c r="V95" s="506">
        <f t="shared" si="3"/>
        <v>2020</v>
      </c>
      <c r="W95" s="506">
        <f t="shared" si="3"/>
        <v>2021</v>
      </c>
      <c r="X95" s="506">
        <f t="shared" si="3"/>
        <v>2022</v>
      </c>
      <c r="Y95" s="506">
        <f t="shared" si="3"/>
        <v>2023</v>
      </c>
      <c r="Z95" s="506">
        <f t="shared" si="3"/>
        <v>2024</v>
      </c>
      <c r="AA95" s="506">
        <f t="shared" si="3"/>
        <v>2025</v>
      </c>
      <c r="AB95" s="506">
        <f t="shared" si="3"/>
        <v>2026</v>
      </c>
      <c r="AC95" s="506">
        <f t="shared" si="3"/>
        <v>2027</v>
      </c>
      <c r="AD95" s="506">
        <f t="shared" si="3"/>
        <v>2028</v>
      </c>
      <c r="AE95" s="506">
        <f t="shared" si="3"/>
        <v>2029</v>
      </c>
      <c r="AF95" s="506">
        <f t="shared" si="3"/>
        <v>2030</v>
      </c>
      <c r="AG95" s="506">
        <f t="shared" si="3"/>
        <v>2031</v>
      </c>
      <c r="AH95" s="506">
        <f t="shared" si="3"/>
        <v>2032</v>
      </c>
      <c r="AI95" s="506">
        <f t="shared" si="3"/>
        <v>2033</v>
      </c>
      <c r="AJ95" s="506">
        <f t="shared" si="3"/>
        <v>2034</v>
      </c>
      <c r="AK95" s="506">
        <f t="shared" si="3"/>
        <v>2035</v>
      </c>
      <c r="AL95" s="506">
        <f t="shared" si="3"/>
        <v>2036</v>
      </c>
      <c r="AM95" s="507">
        <f t="shared" si="3"/>
        <v>2037</v>
      </c>
      <c r="AO95" s="88">
        <f>ROW()</f>
        <v>95</v>
      </c>
    </row>
    <row r="96" spans="2:41" ht="15" customHeight="1">
      <c r="B96" s="224" t="s">
        <v>444</v>
      </c>
      <c r="E96" s="32" t="s">
        <v>445</v>
      </c>
      <c r="F96" s="113"/>
      <c r="G96" s="113"/>
      <c r="H96" s="113"/>
      <c r="I96" s="113"/>
      <c r="J96" s="277"/>
      <c r="K96" s="114"/>
      <c r="L96" s="136"/>
      <c r="M96" s="230"/>
      <c r="N96" s="466"/>
      <c r="O96" s="501" t="s">
        <v>676</v>
      </c>
      <c r="P96" s="508">
        <f t="shared" ref="P96:AM96" si="4">IF($J69=1,MAX(0,$J$67*MIN(1,P94)+$J$71*(P94-1)),IF(P94=0,0,($J$67*(1+$J$75)^(P94-1))))</f>
        <v>0</v>
      </c>
      <c r="Q96" s="508">
        <f t="shared" si="4"/>
        <v>55.405615062708264</v>
      </c>
      <c r="R96" s="508">
        <f t="shared" si="4"/>
        <v>55.405615062708264</v>
      </c>
      <c r="S96" s="508">
        <f t="shared" si="4"/>
        <v>55.405615062708264</v>
      </c>
      <c r="T96" s="508">
        <f t="shared" si="4"/>
        <v>55.405615062708264</v>
      </c>
      <c r="U96" s="508">
        <f t="shared" si="4"/>
        <v>55.405615062708264</v>
      </c>
      <c r="V96" s="508">
        <f t="shared" si="4"/>
        <v>55.405615062708264</v>
      </c>
      <c r="W96" s="508">
        <f t="shared" si="4"/>
        <v>55.405615062708264</v>
      </c>
      <c r="X96" s="508">
        <f t="shared" si="4"/>
        <v>55.405615062708264</v>
      </c>
      <c r="Y96" s="508">
        <f t="shared" si="4"/>
        <v>55.405615062708264</v>
      </c>
      <c r="Z96" s="508">
        <f t="shared" si="4"/>
        <v>55.405615062708264</v>
      </c>
      <c r="AA96" s="508">
        <f t="shared" si="4"/>
        <v>55.405615062708264</v>
      </c>
      <c r="AB96" s="508">
        <f t="shared" si="4"/>
        <v>55.405615062708264</v>
      </c>
      <c r="AC96" s="508">
        <f t="shared" si="4"/>
        <v>55.405615062708264</v>
      </c>
      <c r="AD96" s="508">
        <f t="shared" si="4"/>
        <v>55.405615062708264</v>
      </c>
      <c r="AE96" s="508">
        <f t="shared" si="4"/>
        <v>55.405615062708264</v>
      </c>
      <c r="AF96" s="508">
        <f t="shared" si="4"/>
        <v>55.405615062708264</v>
      </c>
      <c r="AG96" s="508">
        <f t="shared" si="4"/>
        <v>55.405615062708264</v>
      </c>
      <c r="AH96" s="508">
        <f t="shared" si="4"/>
        <v>55.405615062708264</v>
      </c>
      <c r="AI96" s="508">
        <f t="shared" si="4"/>
        <v>55.405615062708264</v>
      </c>
      <c r="AJ96" s="508">
        <f t="shared" si="4"/>
        <v>55.405615062708264</v>
      </c>
      <c r="AK96" s="508">
        <f t="shared" si="4"/>
        <v>55.405615062708264</v>
      </c>
      <c r="AL96" s="508">
        <f t="shared" si="4"/>
        <v>55.405615062708264</v>
      </c>
      <c r="AM96" s="509">
        <f t="shared" si="4"/>
        <v>55.405615062708264</v>
      </c>
      <c r="AO96" s="88">
        <f>ROW()</f>
        <v>96</v>
      </c>
    </row>
    <row r="97" spans="1:41" ht="15" customHeight="1">
      <c r="B97" s="224" t="s">
        <v>450</v>
      </c>
      <c r="C97" s="113"/>
      <c r="E97" s="32" t="str">
        <f>CONCATENATE("Reflects inflator (escalator) if Cell J",Summary!$AO$79, " was set to &lt;Real&gt;). Inflator starts in first tax year and applies to entire tax.")</f>
        <v>Reflects inflator (escalator) if Cell J79 was set to &lt;Real&gt;). Inflator starts in first tax year and applies to entire tax.</v>
      </c>
      <c r="F97" s="113"/>
      <c r="G97" s="113"/>
      <c r="H97" s="113"/>
      <c r="I97" s="113"/>
      <c r="J97" s="277"/>
      <c r="K97" s="114"/>
      <c r="L97" s="136"/>
      <c r="M97" s="230"/>
      <c r="N97" s="466"/>
      <c r="O97" s="501" t="s">
        <v>677</v>
      </c>
      <c r="P97" s="508">
        <f>P96*IF($J$79="Real",(AEO!$J$18)^(P95-$Q95),1)</f>
        <v>0</v>
      </c>
      <c r="Q97" s="508">
        <f>Q96*IF($J$79="Real",(AEO!$J$18)^(Q95-$Q95),1)</f>
        <v>55.405615062708264</v>
      </c>
      <c r="R97" s="508">
        <f>R96*IF($J$79="Real",(AEO!$J$18)^(R95-$Q95),1)</f>
        <v>56.311103997955648</v>
      </c>
      <c r="S97" s="508">
        <f>S96*IF($J$79="Real",(AEO!$J$18)^(S95-$Q95),1)</f>
        <v>57.231391256638801</v>
      </c>
      <c r="T97" s="508">
        <f>T96*IF($J$79="Real",(AEO!$J$18)^(T95-$Q95),1)</f>
        <v>58.166718686413702</v>
      </c>
      <c r="U97" s="508">
        <f>U96*IF($J$79="Real",(AEO!$J$18)^(U95-$Q95),1)</f>
        <v>59.117332087430611</v>
      </c>
      <c r="V97" s="508">
        <f>V96*IF($J$79="Real",(AEO!$J$18)^(V95-$Q95),1)</f>
        <v>60.083481276929334</v>
      </c>
      <c r="W97" s="508">
        <f>W96*IF($J$79="Real",(AEO!$J$18)^(W95-$Q95),1)</f>
        <v>61.065420154890113</v>
      </c>
      <c r="X97" s="508">
        <f>X96*IF($J$79="Real",(AEO!$J$18)^(X95-$Q95),1)</f>
        <v>62.063406770757553</v>
      </c>
      <c r="Y97" s="508">
        <f>Y96*IF($J$79="Real",(AEO!$J$18)^(Y95-$Q95),1)</f>
        <v>63.077703391254822</v>
      </c>
      <c r="Z97" s="508">
        <f>Z96*IF($J$79="Real",(AEO!$J$18)^(Z95-$Q95),1)</f>
        <v>64.108576569306436</v>
      </c>
      <c r="AA97" s="508">
        <f>AA96*IF($J$79="Real",(AEO!$J$18)^(AA95-$Q95),1)</f>
        <v>65.156297214087033</v>
      </c>
      <c r="AB97" s="508">
        <f>AB96*IF($J$79="Real",(AEO!$J$18)^(AB95-$Q95),1)</f>
        <v>66.221140662215376</v>
      </c>
      <c r="AC97" s="508">
        <f>AC96*IF($J$79="Real",(AEO!$J$18)^(AC95-$Q95),1)</f>
        <v>67.303386750111528</v>
      </c>
      <c r="AD97" s="508">
        <f>AD96*IF($J$79="Real",(AEO!$J$18)^(AD95-$Q95),1)</f>
        <v>68.40331988753681</v>
      </c>
      <c r="AE97" s="508">
        <f>AE96*IF($J$79="Real",(AEO!$J$18)^(AE95-$Q95),1)</f>
        <v>69.521229132335364</v>
      </c>
      <c r="AF97" s="508">
        <f>AF96*IF($J$79="Real",(AEO!$J$18)^(AF95-$Q95),1)</f>
        <v>70.65740826639751</v>
      </c>
      <c r="AG97" s="508">
        <f>AG96*IF($J$79="Real",(AEO!$J$18)^(AG95-$Q95),1)</f>
        <v>71.812155872864238</v>
      </c>
      <c r="AH97" s="508">
        <f>AH96*IF($J$79="Real",(AEO!$J$18)^(AH95-$Q95),1)</f>
        <v>72.985775414593775</v>
      </c>
      <c r="AI97" s="508">
        <f>AI96*IF($J$79="Real",(AEO!$J$18)^(AI95-$Q95),1)</f>
        <v>74.178575313910244</v>
      </c>
      <c r="AJ97" s="508">
        <f>AJ96*IF($J$79="Real",(AEO!$J$18)^(AJ95-$Q95),1)</f>
        <v>75.390869033655804</v>
      </c>
      <c r="AK97" s="508">
        <f>AK96*IF($J$79="Real",(AEO!$J$18)^(AK95-$Q95),1)</f>
        <v>76.622975159567346</v>
      </c>
      <c r="AL97" s="508">
        <f>AL96*IF($J$79="Real",(AEO!$J$18)^(AL95-$Q95),1)</f>
        <v>77.875217483999577</v>
      </c>
      <c r="AM97" s="509">
        <f>AM96*IF($J$79="Real",(AEO!$J$18)^(AM95-$Q95),1)</f>
        <v>79.147925091016234</v>
      </c>
      <c r="AO97" s="88">
        <f>ROW()</f>
        <v>97</v>
      </c>
    </row>
    <row r="98" spans="1:41" ht="15" customHeight="1">
      <c r="B98" s="224" t="s">
        <v>446</v>
      </c>
      <c r="C98" s="113"/>
      <c r="E98" s="32" t="s">
        <v>460</v>
      </c>
      <c r="F98" s="113"/>
      <c r="G98" s="113"/>
      <c r="H98" s="113"/>
      <c r="I98" s="113"/>
      <c r="J98" s="277"/>
      <c r="K98" s="114"/>
      <c r="L98" s="136"/>
      <c r="M98" s="230"/>
      <c r="N98" s="466"/>
      <c r="O98" s="501" t="s">
        <v>678</v>
      </c>
      <c r="P98" s="510">
        <f>P97/(AEO!$N$18)^(P95-2010)</f>
        <v>0</v>
      </c>
      <c r="Q98" s="510">
        <f>Q97/(AEO!$N$18)^(Q95-2010)</f>
        <v>50.800373287478955</v>
      </c>
      <c r="R98" s="510">
        <f>R97/(AEO!$N$18)^(R95-2010)</f>
        <v>50.742258064294262</v>
      </c>
      <c r="S98" s="510">
        <f>S97/(AEO!$N$18)^(S95-2010)</f>
        <v>50.684209324462891</v>
      </c>
      <c r="T98" s="510">
        <f>T97/(AEO!$N$18)^(T95-2010)</f>
        <v>50.626226991928398</v>
      </c>
      <c r="U98" s="510">
        <f>U97/(AEO!$N$18)^(U95-2010)</f>
        <v>50.568310990721379</v>
      </c>
      <c r="V98" s="510">
        <f>V97/(AEO!$N$18)^(V95-2010)</f>
        <v>50.510461244959316</v>
      </c>
      <c r="W98" s="510">
        <f>W97/(AEO!$N$18)^(W95-2010)</f>
        <v>50.452677678846499</v>
      </c>
      <c r="X98" s="510">
        <f>X97/(AEO!$N$18)^(X95-2010)</f>
        <v>50.394960216673951</v>
      </c>
      <c r="Y98" s="510">
        <f>Y97/(AEO!$N$18)^(Y95-2010)</f>
        <v>50.337308782819264</v>
      </c>
      <c r="Z98" s="510">
        <f>Z97/(AEO!$N$18)^(Z95-2010)</f>
        <v>50.279723301746614</v>
      </c>
      <c r="AA98" s="510">
        <f>AA97/(AEO!$N$18)^(AA95-2010)</f>
        <v>50.222203698006496</v>
      </c>
      <c r="AB98" s="510">
        <f>AB97/(AEO!$N$18)^(AB95-2010)</f>
        <v>50.164749896235797</v>
      </c>
      <c r="AC98" s="510">
        <f>AC97/(AEO!$N$18)^(AC95-2010)</f>
        <v>50.107361821157554</v>
      </c>
      <c r="AD98" s="510">
        <f>AD97/(AEO!$N$18)^(AD95-2010)</f>
        <v>50.050039397580996</v>
      </c>
      <c r="AE98" s="510">
        <f>AE97/(AEO!$N$18)^(AE95-2010)</f>
        <v>49.992782550401287</v>
      </c>
      <c r="AF98" s="510">
        <f>AF97/(AEO!$N$18)^(AF95-2010)</f>
        <v>49.935591204599582</v>
      </c>
      <c r="AG98" s="510">
        <f>AG97/(AEO!$N$18)^(AG95-2010)</f>
        <v>49.87846528524279</v>
      </c>
      <c r="AH98" s="510">
        <f>AH97/(AEO!$N$18)^(AH95-2010)</f>
        <v>49.821404717483603</v>
      </c>
      <c r="AI98" s="510">
        <f>AI97/(AEO!$N$18)^(AI95-2010)</f>
        <v>49.76440942656032</v>
      </c>
      <c r="AJ98" s="510">
        <f>AJ97/(AEO!$N$18)^(AJ95-2010)</f>
        <v>49.707479337796755</v>
      </c>
      <c r="AK98" s="510">
        <f>AK97/(AEO!$N$18)^(AK95-2010)</f>
        <v>49.650614376602128</v>
      </c>
      <c r="AL98" s="510">
        <f>AL97/(AEO!$N$18)^(AL95-2010)</f>
        <v>49.593814468471052</v>
      </c>
      <c r="AM98" s="511">
        <f>AM97/(AEO!$N$18)^(AM95-2010)</f>
        <v>49.537079538983328</v>
      </c>
      <c r="AO98" s="88">
        <f>ROW()</f>
        <v>98</v>
      </c>
    </row>
    <row r="99" spans="1:41" ht="15" customHeight="1">
      <c r="B99" s="112"/>
      <c r="C99" s="113"/>
      <c r="D99" s="113"/>
      <c r="E99" s="113"/>
      <c r="F99" s="113"/>
      <c r="G99" s="113"/>
      <c r="H99" s="113"/>
      <c r="I99" s="113"/>
      <c r="J99" s="114"/>
      <c r="K99" s="114"/>
      <c r="L99" s="136"/>
      <c r="M99" s="136"/>
      <c r="N99" s="136"/>
      <c r="O99" s="136"/>
      <c r="P99" s="136"/>
      <c r="Q99" s="34"/>
      <c r="AO99" s="88">
        <f>ROW()</f>
        <v>99</v>
      </c>
    </row>
    <row r="100" spans="1:41" ht="15" customHeight="1">
      <c r="A100" s="71"/>
      <c r="B100" s="59" t="s">
        <v>338</v>
      </c>
      <c r="C100" s="182"/>
      <c r="D100" s="182"/>
      <c r="F100" s="182"/>
      <c r="G100" s="763" t="s">
        <v>763</v>
      </c>
      <c r="H100" s="763"/>
      <c r="I100" s="763" t="s">
        <v>764</v>
      </c>
      <c r="J100" s="763"/>
      <c r="K100" s="114"/>
      <c r="L100" s="136"/>
      <c r="M100" s="136"/>
      <c r="N100" s="136"/>
      <c r="O100" s="136"/>
      <c r="Q100" s="763" t="s">
        <v>763</v>
      </c>
      <c r="R100" s="763"/>
      <c r="S100" s="763" t="s">
        <v>767</v>
      </c>
      <c r="T100" s="763"/>
      <c r="AO100" s="88">
        <f>ROW()</f>
        <v>100</v>
      </c>
    </row>
    <row r="101" spans="1:41" ht="15" customHeight="1">
      <c r="A101" s="71"/>
      <c r="B101" s="182"/>
      <c r="C101" s="182"/>
      <c r="D101" s="182"/>
      <c r="E101" s="182"/>
      <c r="F101" s="182"/>
      <c r="G101" s="531"/>
      <c r="H101" s="753" t="s">
        <v>464</v>
      </c>
      <c r="I101" s="531"/>
      <c r="J101" s="753" t="s">
        <v>464</v>
      </c>
      <c r="L101" s="71"/>
      <c r="O101" s="182"/>
      <c r="Q101" s="531"/>
      <c r="R101" s="753" t="s">
        <v>464</v>
      </c>
      <c r="S101" s="531"/>
      <c r="T101" s="753" t="s">
        <v>464</v>
      </c>
      <c r="AO101" s="88">
        <f>ROW()</f>
        <v>101</v>
      </c>
    </row>
    <row r="102" spans="1:41" ht="15" customHeight="1">
      <c r="A102" s="71"/>
      <c r="B102" s="1" t="s">
        <v>466</v>
      </c>
      <c r="C102" s="182"/>
      <c r="D102" s="182"/>
      <c r="E102" s="182"/>
      <c r="F102" s="182"/>
      <c r="G102" s="532" t="s">
        <v>463</v>
      </c>
      <c r="H102" s="754"/>
      <c r="I102" s="532" t="s">
        <v>463</v>
      </c>
      <c r="J102" s="754"/>
      <c r="L102" s="1" t="s">
        <v>483</v>
      </c>
      <c r="M102"/>
      <c r="Q102" s="532" t="s">
        <v>463</v>
      </c>
      <c r="R102" s="754"/>
      <c r="S102" s="532" t="s">
        <v>463</v>
      </c>
      <c r="T102" s="754"/>
      <c r="AO102" s="88">
        <f>ROW()</f>
        <v>102</v>
      </c>
    </row>
    <row r="103" spans="1:41" ht="15" customHeight="1">
      <c r="A103" s="71"/>
      <c r="B103" s="231" t="s">
        <v>462</v>
      </c>
      <c r="C103" s="232"/>
      <c r="D103" s="232"/>
      <c r="E103" s="232"/>
      <c r="F103" s="232"/>
      <c r="G103" s="533">
        <f>HLOOKUP(2020,$Q$148:$AM$164, 11)</f>
        <v>-0.26654623156291923</v>
      </c>
      <c r="H103" s="533">
        <f>HLOOKUP(10,$Q$146:$AM$164, 13)</f>
        <v>-0.24737589663562254</v>
      </c>
      <c r="I103" s="534">
        <f>ROUND(HLOOKUP(2020,$Q$116:$AM$129, 14)-$I$120,-1)</f>
        <v>-1570</v>
      </c>
      <c r="J103" s="534">
        <f>ROUND(HLOOKUP(10,$Q$110:$AM$129, 20)-$I$120,-1)</f>
        <v>-1460</v>
      </c>
      <c r="L103" s="231" t="s">
        <v>467</v>
      </c>
      <c r="M103" s="232"/>
      <c r="N103" s="454"/>
      <c r="O103" s="454"/>
      <c r="P103" s="232"/>
      <c r="Q103" s="533">
        <f>HLOOKUP(2020,$Q$176:$AM$194, 13)/$I$178-1</f>
        <v>-0.17156957219625391</v>
      </c>
      <c r="R103" s="533">
        <f>HLOOKUP(10,$Q$174:$AM$194, 15)/$I$178-1</f>
        <v>-0.14792894201977769</v>
      </c>
      <c r="S103" s="534">
        <f>ROUND((HLOOKUP(2020,$Q$176:$AM$188, 13)-$I$178),-1)</f>
        <v>-3610</v>
      </c>
      <c r="T103" s="534">
        <f>ROUND((HLOOKUP(10,$Q$174:$AM$188, 15)-$I$178),-1)</f>
        <v>-3110</v>
      </c>
      <c r="AO103" s="88">
        <f>ROW()</f>
        <v>103</v>
      </c>
    </row>
    <row r="104" spans="1:41" ht="15" customHeight="1">
      <c r="A104" s="71"/>
      <c r="B104" s="233" t="s">
        <v>465</v>
      </c>
      <c r="C104" s="234"/>
      <c r="D104" s="234"/>
      <c r="E104" s="234"/>
      <c r="F104" s="234"/>
      <c r="G104" s="533">
        <f>HLOOKUP(2020,$Q$148:$AM$158, 3)</f>
        <v>-0.20320385073225186</v>
      </c>
      <c r="H104" s="533">
        <f>HLOOKUP(10,$Q$146:$AM$158, 5)</f>
        <v>-0.1966624279992065</v>
      </c>
      <c r="I104" s="534">
        <f>ROUND(HLOOKUP(2020,$Q$116:$AM$138, 23),-1)</f>
        <v>-1100</v>
      </c>
      <c r="J104" s="534">
        <f>ROUND(HLOOKUP(10,$Q$110:$AM$138, 29),-1)</f>
        <v>-1090</v>
      </c>
      <c r="L104" s="233" t="s">
        <v>468</v>
      </c>
      <c r="M104" s="234"/>
      <c r="N104" s="454"/>
      <c r="O104" s="454"/>
      <c r="P104" s="234"/>
      <c r="Q104" s="533">
        <f>HLOOKUP(2020,$Q$176:$AM$194,13)/HLOOKUP(2020,$Q$176:$AM$184, 3)-1</f>
        <v>-0.10432017796341442</v>
      </c>
      <c r="R104" s="533">
        <f>HLOOKUP(10,$Q$174:$AM$194,15)/HLOOKUP(10,$Q$174:$AM$184, 5)-1</f>
        <v>-0.104822343561495</v>
      </c>
      <c r="S104" s="534">
        <f>ROUND((HLOOKUP(2020,$Q$176:$AM$194,13)-HLOOKUP(2020,$Q$176:$AM$184, 3)),-1)</f>
        <v>-2030</v>
      </c>
      <c r="T104" s="534">
        <f>ROUND((HLOOKUP(10,$Q$174:$AM$194,15)-HLOOKUP(10,$Q$174:$AM$184, 5)),-1)</f>
        <v>-2100</v>
      </c>
      <c r="AO104" s="88">
        <f>ROW()</f>
        <v>104</v>
      </c>
    </row>
    <row r="105" spans="1:41" ht="15" customHeight="1">
      <c r="A105" s="71"/>
      <c r="B105" s="8" t="str">
        <f>CONCATENATE("Note: U.S. CO2 emissions for 2012 were already approximately ",ROUND(-100*P158,0), "% below 2005 emissions.")</f>
        <v>Note: U.S. CO2 emissions for 2012 were already approximately 12% below 2005 emissions.</v>
      </c>
      <c r="C105" s="182"/>
      <c r="D105" s="182"/>
      <c r="E105" s="182"/>
      <c r="F105" s="182"/>
      <c r="G105" s="182"/>
      <c r="H105" s="182"/>
      <c r="I105" s="182"/>
      <c r="J105" s="225"/>
      <c r="L105" s="71"/>
      <c r="AO105" s="88">
        <f>ROW()</f>
        <v>105</v>
      </c>
    </row>
    <row r="106" spans="1:41" ht="15" customHeight="1">
      <c r="A106" s="71"/>
      <c r="B106" s="182"/>
      <c r="C106" s="182"/>
      <c r="D106" s="182"/>
      <c r="E106" s="182"/>
      <c r="F106" s="182"/>
      <c r="G106" s="182"/>
      <c r="H106" s="182"/>
      <c r="I106" s="182"/>
      <c r="J106" s="225"/>
      <c r="AO106" s="88">
        <f>ROW()</f>
        <v>106</v>
      </c>
    </row>
    <row r="107" spans="1:41" ht="15" customHeight="1">
      <c r="A107" s="71"/>
      <c r="B107" s="182"/>
      <c r="C107" s="182"/>
      <c r="D107" s="182"/>
      <c r="E107" s="182"/>
      <c r="G107" s="784" t="s">
        <v>600</v>
      </c>
      <c r="H107" s="784" t="s">
        <v>599</v>
      </c>
      <c r="AO107" s="88">
        <f>ROW()</f>
        <v>107</v>
      </c>
    </row>
    <row r="108" spans="1:41" ht="15" customHeight="1">
      <c r="A108" s="71"/>
      <c r="B108" s="772" t="s">
        <v>661</v>
      </c>
      <c r="C108" s="746"/>
      <c r="D108" s="746"/>
      <c r="E108" s="746"/>
      <c r="G108" s="785"/>
      <c r="H108" s="785"/>
      <c r="Q108" s="34"/>
      <c r="AO108" s="88">
        <f>ROW()</f>
        <v>108</v>
      </c>
    </row>
    <row r="109" spans="1:41" ht="15" customHeight="1">
      <c r="A109" s="71"/>
      <c r="B109" s="746"/>
      <c r="C109" s="746"/>
      <c r="D109" s="746"/>
      <c r="E109" s="746"/>
      <c r="G109" s="786"/>
      <c r="H109" s="786"/>
      <c r="K109" s="114"/>
      <c r="L109" s="136"/>
      <c r="M109" s="136"/>
      <c r="N109" s="136"/>
      <c r="O109" s="136"/>
      <c r="P109" s="136"/>
      <c r="Q109" s="34"/>
      <c r="AO109" s="88">
        <f>ROW()</f>
        <v>109</v>
      </c>
    </row>
    <row r="110" spans="1:41" ht="15" customHeight="1">
      <c r="A110" s="71"/>
      <c r="B110" s="134" t="s">
        <v>107</v>
      </c>
      <c r="C110" s="113"/>
      <c r="G110" s="456">
        <f>-HLOOKUP(10,$Q$146:$AM$159, 6)</f>
        <v>0.30507432655868844</v>
      </c>
      <c r="H110" s="456">
        <f>HLOOKUP(10,$Q$146:$AM$172, 22)</f>
        <v>0.57440508620886654</v>
      </c>
      <c r="K110" s="114"/>
      <c r="L110" s="136"/>
      <c r="M110" s="136"/>
      <c r="N110" s="136"/>
      <c r="O110" s="136"/>
      <c r="P110" s="525" t="s">
        <v>748</v>
      </c>
      <c r="Q110">
        <f>Q$94</f>
        <v>1</v>
      </c>
      <c r="R110">
        <f t="shared" ref="R110:AM110" si="5">R$94</f>
        <v>2</v>
      </c>
      <c r="S110">
        <f t="shared" si="5"/>
        <v>3</v>
      </c>
      <c r="T110">
        <f t="shared" si="5"/>
        <v>4</v>
      </c>
      <c r="U110">
        <f t="shared" si="5"/>
        <v>5</v>
      </c>
      <c r="V110">
        <f t="shared" si="5"/>
        <v>6</v>
      </c>
      <c r="W110">
        <f t="shared" si="5"/>
        <v>7</v>
      </c>
      <c r="X110">
        <f t="shared" si="5"/>
        <v>8</v>
      </c>
      <c r="Y110">
        <f t="shared" si="5"/>
        <v>9</v>
      </c>
      <c r="Z110">
        <f t="shared" si="5"/>
        <v>10</v>
      </c>
      <c r="AA110">
        <f t="shared" si="5"/>
        <v>11</v>
      </c>
      <c r="AB110">
        <f t="shared" si="5"/>
        <v>12</v>
      </c>
      <c r="AC110">
        <f t="shared" si="5"/>
        <v>13</v>
      </c>
      <c r="AD110">
        <f t="shared" si="5"/>
        <v>14</v>
      </c>
      <c r="AE110">
        <f t="shared" si="5"/>
        <v>15</v>
      </c>
      <c r="AF110">
        <f t="shared" si="5"/>
        <v>16</v>
      </c>
      <c r="AG110">
        <f t="shared" si="5"/>
        <v>17</v>
      </c>
      <c r="AH110">
        <f t="shared" si="5"/>
        <v>18</v>
      </c>
      <c r="AI110">
        <f t="shared" si="5"/>
        <v>19</v>
      </c>
      <c r="AJ110">
        <f t="shared" si="5"/>
        <v>20</v>
      </c>
      <c r="AK110">
        <f t="shared" si="5"/>
        <v>21</v>
      </c>
      <c r="AL110">
        <f t="shared" si="5"/>
        <v>22</v>
      </c>
      <c r="AM110">
        <f t="shared" si="5"/>
        <v>23</v>
      </c>
      <c r="AO110" s="88">
        <f>ROW()</f>
        <v>110</v>
      </c>
    </row>
    <row r="111" spans="1:41" ht="15" customHeight="1">
      <c r="A111" s="71"/>
      <c r="B111" s="134" t="s">
        <v>158</v>
      </c>
      <c r="G111" s="456">
        <f>-HLOOKUP(10,$Q$146:$AM$159, 7)</f>
        <v>0.10997869213974552</v>
      </c>
      <c r="H111" s="456">
        <f>HLOOKUP(10,$Q$146:$AM$172, 23)</f>
        <v>0.1304615722511141</v>
      </c>
      <c r="L111" s="71"/>
      <c r="AO111" s="88">
        <f>ROW()</f>
        <v>111</v>
      </c>
    </row>
    <row r="112" spans="1:41" ht="15" customHeight="1">
      <c r="B112" s="134" t="s">
        <v>339</v>
      </c>
      <c r="C112" s="113"/>
      <c r="G112" s="456">
        <f>-HLOOKUP(10,$Q$146:$AM$159, 8)</f>
        <v>0.13132339606013405</v>
      </c>
      <c r="H112" s="456">
        <f>HLOOKUP(10,$Q$146:$AM$172, 24)</f>
        <v>5.8903896646523443E-2</v>
      </c>
      <c r="K112" s="800" t="s">
        <v>87</v>
      </c>
      <c r="L112" s="769" t="s">
        <v>185</v>
      </c>
      <c r="M112" s="799" t="s">
        <v>185</v>
      </c>
      <c r="N112" s="799" t="s">
        <v>185</v>
      </c>
      <c r="O112" s="803" t="s">
        <v>185</v>
      </c>
      <c r="P112" s="800" t="s">
        <v>513</v>
      </c>
      <c r="Q112" s="765" t="s">
        <v>88</v>
      </c>
      <c r="AO112" s="88">
        <f>ROW()</f>
        <v>112</v>
      </c>
    </row>
    <row r="113" spans="1:41" ht="15" customHeight="1">
      <c r="B113" s="134" t="s">
        <v>11</v>
      </c>
      <c r="G113" s="456">
        <f>-HLOOKUP(10,$Q$146:$AM$159, 9)</f>
        <v>0.10980614525004741</v>
      </c>
      <c r="H113" s="456">
        <f>HLOOKUP(10,$Q$146:$AM$172, 25)</f>
        <v>2.1653685350722152E-2</v>
      </c>
      <c r="K113" s="801"/>
      <c r="L113" s="770"/>
      <c r="M113" s="799"/>
      <c r="N113" s="799"/>
      <c r="O113" s="804"/>
      <c r="P113" s="801"/>
      <c r="Q113" s="766"/>
      <c r="S113" s="764" t="s">
        <v>598</v>
      </c>
      <c r="T113" s="738"/>
      <c r="U113" s="738"/>
      <c r="V113" s="738"/>
      <c r="AO113" s="88">
        <f>ROW()</f>
        <v>113</v>
      </c>
    </row>
    <row r="114" spans="1:41" ht="15" customHeight="1">
      <c r="B114" s="134" t="s">
        <v>737</v>
      </c>
      <c r="D114" s="6"/>
      <c r="G114" s="456">
        <f>-HLOOKUP(10,$Q$146:$AM$159, 11)</f>
        <v>0.22016450662281195</v>
      </c>
      <c r="H114" s="456">
        <f>HLOOKUP(10,$Q$146:$AM$172, 27)</f>
        <v>0.13265892204824348</v>
      </c>
      <c r="K114" s="801"/>
      <c r="L114" s="770"/>
      <c r="M114" s="799"/>
      <c r="N114" s="799"/>
      <c r="O114" s="804"/>
      <c r="P114" s="801"/>
      <c r="Q114" s="766"/>
      <c r="S114" s="738"/>
      <c r="T114" s="738"/>
      <c r="U114" s="738"/>
      <c r="V114" s="738"/>
      <c r="AO114" s="88">
        <f>ROW()</f>
        <v>114</v>
      </c>
    </row>
    <row r="115" spans="1:41" ht="15" customHeight="1">
      <c r="B115" s="134" t="s">
        <v>738</v>
      </c>
      <c r="G115" s="456">
        <f>-HLOOKUP(10,$Q$146:$AM$159, 10)</f>
        <v>0.10673339509677575</v>
      </c>
      <c r="H115" s="456">
        <f>HLOOKUP(10,$Q$146:$AM$172, 26)</f>
        <v>8.1916837494530451E-2</v>
      </c>
      <c r="K115" s="802"/>
      <c r="L115" s="771"/>
      <c r="M115" s="799"/>
      <c r="N115" s="799"/>
      <c r="O115" s="805"/>
      <c r="P115" s="802"/>
      <c r="Q115" s="767"/>
      <c r="R115" s="12"/>
      <c r="S115" s="738"/>
      <c r="T115" s="738"/>
      <c r="U115" s="738"/>
      <c r="V115" s="738"/>
      <c r="AO115" s="88">
        <f>ROW()</f>
        <v>115</v>
      </c>
    </row>
    <row r="116" spans="1:41" ht="15" customHeight="1">
      <c r="B116" s="224" t="s">
        <v>106</v>
      </c>
      <c r="G116" s="457">
        <f>-HLOOKUP(10,$Q$146:$AM$159, 5)</f>
        <v>0.1966624279992065</v>
      </c>
      <c r="H116" s="457">
        <f>SUM(H110:H115)</f>
        <v>1.0000000000000002</v>
      </c>
      <c r="I116" s="12">
        <v>2005</v>
      </c>
      <c r="J116" s="12">
        <v>2006</v>
      </c>
      <c r="K116" s="132">
        <v>2007</v>
      </c>
      <c r="L116" s="235">
        <v>2008</v>
      </c>
      <c r="M116" s="132">
        <v>2009</v>
      </c>
      <c r="N116" s="132">
        <v>2010</v>
      </c>
      <c r="O116" s="453">
        <v>2011</v>
      </c>
      <c r="P116" s="132">
        <v>2012</v>
      </c>
      <c r="Q116" s="459">
        <f t="shared" ref="Q116:AM116" si="6">Q95</f>
        <v>2015</v>
      </c>
      <c r="R116" s="12">
        <f t="shared" si="6"/>
        <v>2016</v>
      </c>
      <c r="S116" s="12">
        <f t="shared" si="6"/>
        <v>2017</v>
      </c>
      <c r="T116" s="12">
        <f t="shared" si="6"/>
        <v>2018</v>
      </c>
      <c r="U116" s="12">
        <f t="shared" si="6"/>
        <v>2019</v>
      </c>
      <c r="V116" s="12">
        <f t="shared" si="6"/>
        <v>2020</v>
      </c>
      <c r="W116" s="12">
        <f t="shared" si="6"/>
        <v>2021</v>
      </c>
      <c r="X116" s="12">
        <f t="shared" si="6"/>
        <v>2022</v>
      </c>
      <c r="Y116" s="12">
        <f t="shared" si="6"/>
        <v>2023</v>
      </c>
      <c r="Z116" s="12">
        <f t="shared" si="6"/>
        <v>2024</v>
      </c>
      <c r="AA116" s="12">
        <f t="shared" si="6"/>
        <v>2025</v>
      </c>
      <c r="AB116" s="12">
        <f t="shared" si="6"/>
        <v>2026</v>
      </c>
      <c r="AC116" s="12">
        <f t="shared" si="6"/>
        <v>2027</v>
      </c>
      <c r="AD116" s="12">
        <f t="shared" si="6"/>
        <v>2028</v>
      </c>
      <c r="AE116" s="12">
        <f t="shared" si="6"/>
        <v>2029</v>
      </c>
      <c r="AF116" s="12">
        <f t="shared" si="6"/>
        <v>2030</v>
      </c>
      <c r="AG116" s="12">
        <f t="shared" si="6"/>
        <v>2031</v>
      </c>
      <c r="AH116" s="12">
        <f t="shared" si="6"/>
        <v>2032</v>
      </c>
      <c r="AI116" s="12">
        <f t="shared" si="6"/>
        <v>2033</v>
      </c>
      <c r="AJ116" s="12">
        <f t="shared" si="6"/>
        <v>2034</v>
      </c>
      <c r="AK116" s="12">
        <f t="shared" si="6"/>
        <v>2035</v>
      </c>
      <c r="AL116" s="12">
        <f t="shared" si="6"/>
        <v>2036</v>
      </c>
      <c r="AM116" s="12">
        <f t="shared" si="6"/>
        <v>2037</v>
      </c>
      <c r="AO116" s="88">
        <f>ROW()</f>
        <v>116</v>
      </c>
    </row>
    <row r="117" spans="1:41" ht="15" customHeight="1">
      <c r="B117" s="224"/>
      <c r="G117" s="111"/>
      <c r="H117" s="111"/>
      <c r="I117" s="12"/>
      <c r="J117" s="12"/>
      <c r="M117"/>
      <c r="N117"/>
      <c r="O117"/>
      <c r="P117"/>
      <c r="S117" s="12"/>
      <c r="T117" s="12"/>
      <c r="U117" s="12"/>
      <c r="V117" s="12"/>
      <c r="W117" s="12"/>
      <c r="X117" s="12"/>
      <c r="Y117" s="12"/>
      <c r="Z117" s="12"/>
      <c r="AA117" s="12"/>
      <c r="AB117" s="12"/>
      <c r="AC117" s="12"/>
      <c r="AD117" s="12"/>
      <c r="AE117" s="12"/>
      <c r="AF117" s="12"/>
      <c r="AG117" s="12"/>
      <c r="AH117" s="12"/>
      <c r="AI117" s="12"/>
      <c r="AJ117" s="12"/>
      <c r="AK117" s="12"/>
      <c r="AL117" s="12"/>
      <c r="AM117" s="12"/>
      <c r="AO117" s="88">
        <f>ROW()</f>
        <v>117</v>
      </c>
    </row>
    <row r="118" spans="1:41" ht="15" customHeight="1">
      <c r="B118" s="1" t="s">
        <v>340</v>
      </c>
      <c r="F118" s="773" t="s">
        <v>662</v>
      </c>
      <c r="G118" s="32"/>
      <c r="I118" s="12"/>
      <c r="J118" s="12"/>
      <c r="O118"/>
      <c r="P118"/>
      <c r="Q118" s="71"/>
      <c r="S118" s="12"/>
      <c r="T118" s="12"/>
      <c r="U118" s="12"/>
      <c r="V118" s="12"/>
      <c r="W118" s="12"/>
      <c r="X118" s="12"/>
      <c r="Y118" s="12"/>
      <c r="Z118" s="12"/>
      <c r="AA118" s="12"/>
      <c r="AB118" s="12"/>
      <c r="AC118" s="12"/>
      <c r="AD118" s="12"/>
      <c r="AE118" s="12"/>
      <c r="AF118" s="12"/>
      <c r="AG118" s="12"/>
      <c r="AH118" s="12"/>
      <c r="AI118" s="12"/>
      <c r="AJ118" s="12"/>
      <c r="AK118" s="12"/>
      <c r="AL118" s="12"/>
      <c r="AM118" s="12"/>
      <c r="AO118" s="88">
        <f>ROW()</f>
        <v>118</v>
      </c>
    </row>
    <row r="119" spans="1:41" s="32" customFormat="1" ht="15" customHeight="1">
      <c r="A119"/>
      <c r="F119" s="774"/>
      <c r="G119" s="499" t="s">
        <v>64</v>
      </c>
      <c r="H119" s="61"/>
      <c r="I119" s="12" t="s">
        <v>322</v>
      </c>
      <c r="J119" s="12" t="s">
        <v>322</v>
      </c>
      <c r="K119" s="12" t="s">
        <v>322</v>
      </c>
      <c r="L119" s="12" t="s">
        <v>322</v>
      </c>
      <c r="M119" s="188" t="s">
        <v>322</v>
      </c>
      <c r="N119" s="188" t="s">
        <v>322</v>
      </c>
      <c r="O119" s="12" t="s">
        <v>322</v>
      </c>
      <c r="P119" s="12" t="s">
        <v>322</v>
      </c>
      <c r="Q119" s="12" t="s">
        <v>323</v>
      </c>
      <c r="R119" s="34"/>
      <c r="S119" s="34"/>
      <c r="T119" s="34"/>
      <c r="U119" s="34"/>
      <c r="V119" s="34"/>
      <c r="W119" s="34"/>
      <c r="X119" s="34"/>
      <c r="Y119" s="34"/>
      <c r="Z119" s="34"/>
      <c r="AA119" s="34"/>
      <c r="AB119" s="34"/>
      <c r="AC119" s="34"/>
      <c r="AD119" s="34"/>
      <c r="AE119" s="34"/>
      <c r="AF119" s="34"/>
      <c r="AG119" s="34"/>
      <c r="AH119" s="34"/>
      <c r="AI119" s="34"/>
      <c r="AJ119" s="34"/>
      <c r="AK119" s="34"/>
      <c r="AL119" s="34"/>
      <c r="AM119" s="34"/>
      <c r="AO119" s="88">
        <f>ROW()</f>
        <v>119</v>
      </c>
    </row>
    <row r="120" spans="1:41" s="8" customFormat="1" ht="15" customHeight="1">
      <c r="A120" s="32"/>
      <c r="B120" s="8" t="s">
        <v>111</v>
      </c>
      <c r="F120" s="775"/>
      <c r="G120" s="440">
        <f>I116</f>
        <v>2005</v>
      </c>
      <c r="H120" s="527">
        <f>P116</f>
        <v>2012</v>
      </c>
      <c r="I120" s="490">
        <f t="shared" ref="I120:AM120" si="7">SUM(I121:I126)</f>
        <v>5906.108533464414</v>
      </c>
      <c r="J120" s="490">
        <f t="shared" si="7"/>
        <v>5891.271635636268</v>
      </c>
      <c r="K120" s="490">
        <f t="shared" si="7"/>
        <v>5938.7462515878469</v>
      </c>
      <c r="L120" s="490">
        <f t="shared" si="7"/>
        <v>5771.9859539361714</v>
      </c>
      <c r="M120" s="490">
        <f t="shared" si="7"/>
        <v>5406.4262424146846</v>
      </c>
      <c r="N120" s="490">
        <f t="shared" si="7"/>
        <v>5596.3581267711561</v>
      </c>
      <c r="O120" s="490">
        <f t="shared" si="7"/>
        <v>5458.6080318275599</v>
      </c>
      <c r="P120" s="490">
        <f t="shared" si="7"/>
        <v>5220.6540028747349</v>
      </c>
      <c r="Q120" s="115">
        <f t="shared" si="7"/>
        <v>5318.3863541686651</v>
      </c>
      <c r="R120" s="115">
        <f t="shared" si="7"/>
        <v>5341.8083297183057</v>
      </c>
      <c r="S120" s="115">
        <f t="shared" si="7"/>
        <v>5365.3374957879878</v>
      </c>
      <c r="T120" s="115">
        <f t="shared" si="7"/>
        <v>5388.9764844713518</v>
      </c>
      <c r="U120" s="115">
        <f t="shared" si="7"/>
        <v>5412.7279359852582</v>
      </c>
      <c r="V120" s="115">
        <f t="shared" si="7"/>
        <v>5436.5944974117056</v>
      </c>
      <c r="W120" s="115">
        <f t="shared" si="7"/>
        <v>5460.5788215329558</v>
      </c>
      <c r="X120" s="115">
        <f t="shared" si="7"/>
        <v>5484.6835657575211</v>
      </c>
      <c r="Y120" s="115">
        <f t="shared" si="7"/>
        <v>5508.9113911345148</v>
      </c>
      <c r="Z120" s="115">
        <f t="shared" si="7"/>
        <v>5533.2649614537904</v>
      </c>
      <c r="AA120" s="115">
        <f t="shared" si="7"/>
        <v>5553.9304418293705</v>
      </c>
      <c r="AB120" s="115">
        <f t="shared" si="7"/>
        <v>5557.1071626913963</v>
      </c>
      <c r="AC120" s="115">
        <f t="shared" si="7"/>
        <v>5560.3863541703604</v>
      </c>
      <c r="AD120" s="115">
        <f t="shared" si="7"/>
        <v>5563.7681838758745</v>
      </c>
      <c r="AE120" s="115">
        <f t="shared" si="7"/>
        <v>5567.2528195624927</v>
      </c>
      <c r="AF120" s="115">
        <f t="shared" si="7"/>
        <v>5570.840429371251</v>
      </c>
      <c r="AG120" s="115">
        <f t="shared" si="7"/>
        <v>5574.5311821039368</v>
      </c>
      <c r="AH120" s="115">
        <f t="shared" si="7"/>
        <v>5578.3252475253194</v>
      </c>
      <c r="AI120" s="115">
        <f t="shared" si="7"/>
        <v>5582.2227966888022</v>
      </c>
      <c r="AJ120" s="115">
        <f t="shared" si="7"/>
        <v>5586.2240022811438</v>
      </c>
      <c r="AK120" s="115">
        <f t="shared" si="7"/>
        <v>5592.3788388268576</v>
      </c>
      <c r="AL120" s="115">
        <f t="shared" si="7"/>
        <v>5586.4899412509112</v>
      </c>
      <c r="AM120" s="115">
        <f t="shared" si="7"/>
        <v>5582.6545518116473</v>
      </c>
      <c r="AN120" s="25"/>
      <c r="AO120" s="88">
        <f>ROW()</f>
        <v>120</v>
      </c>
    </row>
    <row r="121" spans="1:41" s="32" customFormat="1" ht="15" customHeight="1">
      <c r="A121" s="8"/>
      <c r="B121" s="32" t="s">
        <v>4</v>
      </c>
      <c r="F121" s="526">
        <f t="shared" ref="F121:F126" si="8">(P121-I121)/($P$120-$I$120)</f>
        <v>0.55263431956856079</v>
      </c>
      <c r="G121" s="526">
        <f t="shared" ref="G121:G126" si="9">I121/I$120</f>
        <v>0.40878016147526092</v>
      </c>
      <c r="H121" s="526">
        <f t="shared" ref="H121:H126" si="10">P121/P$120</f>
        <v>0.3898925883177754</v>
      </c>
      <c r="I121" s="116">
        <f>Electricity!I46</f>
        <v>2414.2999999999997</v>
      </c>
      <c r="J121" s="116">
        <f>Electricity!J46</f>
        <v>2358.6</v>
      </c>
      <c r="K121" s="116">
        <f>Electricity!K46</f>
        <v>2425.1999999999998</v>
      </c>
      <c r="L121" s="116">
        <f>Electricity!L46</f>
        <v>2372.4</v>
      </c>
      <c r="M121" s="116">
        <f>Electricity!M46</f>
        <v>2157.7999999999997</v>
      </c>
      <c r="N121" s="116">
        <f>Electricity!N46</f>
        <v>2270.7999999999997</v>
      </c>
      <c r="O121" s="116">
        <f>Electricity!O46</f>
        <v>2170</v>
      </c>
      <c r="P121" s="116">
        <f>Electricity!P46</f>
        <v>2035.4943018923852</v>
      </c>
      <c r="Q121" s="116">
        <f>Electricity!Q46</f>
        <v>2044.6187394042292</v>
      </c>
      <c r="R121" s="34">
        <f>Electricity!R46</f>
        <v>2045.0912286096363</v>
      </c>
      <c r="S121" s="34">
        <f>Electricity!S46</f>
        <v>2045.5638270021711</v>
      </c>
      <c r="T121" s="34">
        <f>Electricity!T46</f>
        <v>2046.0365346070676</v>
      </c>
      <c r="U121" s="34">
        <f>Electricity!U46</f>
        <v>2046.5093514495618</v>
      </c>
      <c r="V121" s="34">
        <f>Electricity!V46</f>
        <v>2046.982277554898</v>
      </c>
      <c r="W121" s="34">
        <f>Electricity!W46</f>
        <v>2047.4553129483256</v>
      </c>
      <c r="X121" s="34">
        <f>Electricity!X46</f>
        <v>2047.9284576551001</v>
      </c>
      <c r="Y121" s="34">
        <f>Electricity!Y46</f>
        <v>2048.4017117004832</v>
      </c>
      <c r="Z121" s="34">
        <f>Electricity!Z46</f>
        <v>2048.87507510974</v>
      </c>
      <c r="AA121" s="34">
        <f>Electricity!AA46</f>
        <v>2049.3485479081446</v>
      </c>
      <c r="AB121" s="34">
        <f>Electricity!AB46</f>
        <v>2034.9401839706798</v>
      </c>
      <c r="AC121" s="34">
        <f>Electricity!AC46</f>
        <v>2020.6331209815414</v>
      </c>
      <c r="AD121" s="34">
        <f>Electricity!AD46</f>
        <v>2006.4266467237019</v>
      </c>
      <c r="AE121" s="34">
        <f>Electricity!AE46</f>
        <v>1992.3200539875218</v>
      </c>
      <c r="AF121" s="34">
        <f>Electricity!AF46</f>
        <v>1978.3126405355426</v>
      </c>
      <c r="AG121" s="34">
        <f>Electricity!AG46</f>
        <v>1964.4037090675315</v>
      </c>
      <c r="AH121" s="34">
        <f>Electricity!AH46</f>
        <v>1950.5925671857647</v>
      </c>
      <c r="AI121" s="34">
        <f>Electricity!AI46</f>
        <v>1936.8785273605654</v>
      </c>
      <c r="AJ121" s="34">
        <f>Electricity!AJ46</f>
        <v>1923.2609068960726</v>
      </c>
      <c r="AK121" s="34">
        <f>Electricity!AK46</f>
        <v>1909.7390278962591</v>
      </c>
      <c r="AL121" s="34">
        <f>Electricity!AL46</f>
        <v>1887.5936351447815</v>
      </c>
      <c r="AM121" s="34">
        <f>Electricity!AM46</f>
        <v>1865.7050410516308</v>
      </c>
      <c r="AO121" s="88">
        <f>ROW()</f>
        <v>121</v>
      </c>
    </row>
    <row r="122" spans="1:41" s="32" customFormat="1" ht="15" customHeight="1">
      <c r="B122" s="32" t="s">
        <v>157</v>
      </c>
      <c r="F122" s="526">
        <f t="shared" si="8"/>
        <v>9.0559792941123582E-2</v>
      </c>
      <c r="G122" s="526">
        <f t="shared" si="9"/>
        <v>0.21100521734304645</v>
      </c>
      <c r="H122" s="526">
        <f t="shared" si="10"/>
        <v>0.22681930151710458</v>
      </c>
      <c r="I122" s="116">
        <f>'Personal Ground Travel'!I45</f>
        <v>1246.2197147552799</v>
      </c>
      <c r="J122" s="116">
        <f>'Personal Ground Travel'!J45</f>
        <v>1256.2061927521904</v>
      </c>
      <c r="K122" s="116">
        <f>'Personal Ground Travel'!K45</f>
        <v>1264.0552866209557</v>
      </c>
      <c r="L122" s="116">
        <f>'Personal Ground Travel'!L45</f>
        <v>1223.0844262191999</v>
      </c>
      <c r="M122" s="116">
        <f>'Personal Ground Travel'!M45</f>
        <v>1222.6603237093377</v>
      </c>
      <c r="N122" s="116">
        <f>'Personal Ground Travel'!N45</f>
        <v>1229.2205105919218</v>
      </c>
      <c r="O122" s="116">
        <f>'Personal Ground Travel'!O45</f>
        <v>1188.6555205099994</v>
      </c>
      <c r="P122" s="116">
        <f>'Personal Ground Travel'!P45</f>
        <v>1184.1450943945235</v>
      </c>
      <c r="Q122" s="116">
        <f>'Personal Ground Travel'!Q45</f>
        <v>1209.9653133237102</v>
      </c>
      <c r="R122" s="34">
        <f>'Personal Ground Travel'!R45</f>
        <v>1218.6965651620922</v>
      </c>
      <c r="S122" s="34">
        <f>'Personal Ground Travel'!S45</f>
        <v>1227.4908227394203</v>
      </c>
      <c r="T122" s="34">
        <f>'Personal Ground Travel'!T45</f>
        <v>1236.3485407125083</v>
      </c>
      <c r="U122" s="34">
        <f>'Personal Ground Travel'!U45</f>
        <v>1245.2701770190267</v>
      </c>
      <c r="V122" s="34">
        <f>'Personal Ground Travel'!V45</f>
        <v>1254.2561929011786</v>
      </c>
      <c r="W122" s="34">
        <f>'Personal Ground Travel'!W45</f>
        <v>1263.3070529295442</v>
      </c>
      <c r="X122" s="34">
        <f>'Personal Ground Travel'!X45</f>
        <v>1272.4232250270998</v>
      </c>
      <c r="Y122" s="34">
        <f>'Personal Ground Travel'!Y45</f>
        <v>1281.6051804934093</v>
      </c>
      <c r="Z122" s="34">
        <f>'Personal Ground Travel'!Z45</f>
        <v>1290.8533940289897</v>
      </c>
      <c r="AA122" s="34">
        <f>'Personal Ground Travel'!AA45</f>
        <v>1298.544326890684</v>
      </c>
      <c r="AB122" s="34">
        <f>'Personal Ground Travel'!AB45</f>
        <v>1306.2810824992191</v>
      </c>
      <c r="AC122" s="34">
        <f>'Personal Ground Travel'!AC45</f>
        <v>1314.0639338675269</v>
      </c>
      <c r="AD122" s="34">
        <f>'Personal Ground Travel'!AD45</f>
        <v>1321.8931556351556</v>
      </c>
      <c r="AE122" s="34">
        <f>'Personal Ground Travel'!AE45</f>
        <v>1329.769024077963</v>
      </c>
      <c r="AF122" s="34">
        <f>'Personal Ground Travel'!AF45</f>
        <v>1337.6918171178631</v>
      </c>
      <c r="AG122" s="34">
        <f>'Personal Ground Travel'!AG45</f>
        <v>1345.6618143326366</v>
      </c>
      <c r="AH122" s="34">
        <f>'Personal Ground Travel'!AH45</f>
        <v>1353.6792969657929</v>
      </c>
      <c r="AI122" s="34">
        <f>'Personal Ground Travel'!AI45</f>
        <v>1361.7445479364976</v>
      </c>
      <c r="AJ122" s="34">
        <f>'Personal Ground Travel'!AJ45</f>
        <v>1369.8578518495544</v>
      </c>
      <c r="AK122" s="34">
        <f>'Personal Ground Travel'!AK45</f>
        <v>1378.9130954833054</v>
      </c>
      <c r="AL122" s="34">
        <f>'Personal Ground Travel'!AL45</f>
        <v>1388.0281974718155</v>
      </c>
      <c r="AM122" s="34">
        <f>'Personal Ground Travel'!AM45</f>
        <v>1398.0443719996713</v>
      </c>
      <c r="AO122" s="88">
        <f>ROW()</f>
        <v>122</v>
      </c>
    </row>
    <row r="123" spans="1:41" s="32" customFormat="1" ht="15" customHeight="1">
      <c r="B123" s="32" t="s">
        <v>164</v>
      </c>
      <c r="F123" s="526">
        <f t="shared" si="8"/>
        <v>6.8383627500379671E-2</v>
      </c>
      <c r="G123" s="526">
        <f t="shared" si="9"/>
        <v>8.7085821445850017E-2</v>
      </c>
      <c r="H123" s="526">
        <f t="shared" si="10"/>
        <v>8.9541357393037951E-2</v>
      </c>
      <c r="I123" s="116">
        <f>Freight!I58</f>
        <v>514.33831318509306</v>
      </c>
      <c r="J123" s="116">
        <f>Freight!J58</f>
        <v>520.72193808811414</v>
      </c>
      <c r="K123" s="116">
        <f>Freight!K58</f>
        <v>524.06800169899134</v>
      </c>
      <c r="L123" s="116">
        <f>Freight!L58</f>
        <v>492.78062079101261</v>
      </c>
      <c r="M123" s="116">
        <f>Freight!M58</f>
        <v>453.52089048839792</v>
      </c>
      <c r="N123" s="116">
        <f>Freight!N58</f>
        <v>474.65767081197976</v>
      </c>
      <c r="O123" s="116">
        <f>Freight!O58</f>
        <v>486.96528963302654</v>
      </c>
      <c r="P123" s="116">
        <f>Freight!P58</f>
        <v>467.46444589680084</v>
      </c>
      <c r="Q123" s="116">
        <f>Freight!Q58</f>
        <v>472.87093502610531</v>
      </c>
      <c r="R123" s="116">
        <f>Freight!R58</f>
        <v>474.63452162710308</v>
      </c>
      <c r="S123" s="116">
        <f>Freight!S58</f>
        <v>476.37935301875177</v>
      </c>
      <c r="T123" s="116">
        <f>Freight!T58</f>
        <v>478.1057533672132</v>
      </c>
      <c r="U123" s="116">
        <f>Freight!U58</f>
        <v>479.81404904838757</v>
      </c>
      <c r="V123" s="116">
        <f>Freight!V58</f>
        <v>481.50456817790763</v>
      </c>
      <c r="W123" s="116">
        <f>Freight!W58</f>
        <v>483.17764016167342</v>
      </c>
      <c r="X123" s="116">
        <f>Freight!X58</f>
        <v>484.8335952668416</v>
      </c>
      <c r="Y123" s="116">
        <f>Freight!Y58</f>
        <v>486.47276421311676</v>
      </c>
      <c r="Z123" s="116">
        <f>Freight!Z58</f>
        <v>488.09547778414606</v>
      </c>
      <c r="AA123" s="116">
        <f>Freight!AA58</f>
        <v>489.09038842443488</v>
      </c>
      <c r="AB123" s="116">
        <f>Freight!AB58</f>
        <v>490.06629644777274</v>
      </c>
      <c r="AC123" s="116">
        <f>Freight!AC58</f>
        <v>491.02359506363314</v>
      </c>
      <c r="AD123" s="116">
        <f>Freight!AD58</f>
        <v>491.96267439701165</v>
      </c>
      <c r="AE123" s="116">
        <f>Freight!AE58</f>
        <v>492.88392121092937</v>
      </c>
      <c r="AF123" s="116">
        <f>Freight!AF58</f>
        <v>493.78771864890001</v>
      </c>
      <c r="AG123" s="116">
        <f>Freight!AG58</f>
        <v>494.6744459967336</v>
      </c>
      <c r="AH123" s="116">
        <f>Freight!AH58</f>
        <v>495.54447846303339</v>
      </c>
      <c r="AI123" s="116">
        <f>Freight!AI58</f>
        <v>496.39818697773131</v>
      </c>
      <c r="AJ123" s="116">
        <f>Freight!AJ58</f>
        <v>497.23593800799983</v>
      </c>
      <c r="AK123" s="116">
        <f>Freight!AK58</f>
        <v>498.38106774055944</v>
      </c>
      <c r="AL123" s="116">
        <f>Freight!AL58</f>
        <v>499.51221517706398</v>
      </c>
      <c r="AM123" s="116">
        <f>Freight!AM58</f>
        <v>500.93097692307481</v>
      </c>
      <c r="AO123" s="88">
        <f>ROW()</f>
        <v>123</v>
      </c>
    </row>
    <row r="124" spans="1:41" s="32" customFormat="1" ht="15" customHeight="1">
      <c r="B124" s="32" t="s">
        <v>18</v>
      </c>
      <c r="F124" s="526">
        <f t="shared" si="8"/>
        <v>6.1014970447438484E-2</v>
      </c>
      <c r="G124" s="526">
        <f t="shared" si="9"/>
        <v>4.2175800590768635E-2</v>
      </c>
      <c r="H124" s="526">
        <f t="shared" si="10"/>
        <v>3.9702280161394814E-2</v>
      </c>
      <c r="I124" s="116">
        <f>Aviation!I58</f>
        <v>249.0948557748321</v>
      </c>
      <c r="J124" s="116">
        <f>Aviation!J58</f>
        <v>242.18095297452081</v>
      </c>
      <c r="K124" s="116">
        <f>Aviation!K58</f>
        <v>240.49131159641982</v>
      </c>
      <c r="L124" s="116">
        <f>Aviation!L58</f>
        <v>227.92527308794266</v>
      </c>
      <c r="M124" s="116">
        <f>Aviation!M58</f>
        <v>206.47097871471823</v>
      </c>
      <c r="N124" s="116">
        <f>Aviation!N58</f>
        <v>212.0189694989798</v>
      </c>
      <c r="O124" s="116">
        <f>Aviation!O58</f>
        <v>211.22644129636862</v>
      </c>
      <c r="P124" s="116">
        <f>Aviation!P58</f>
        <v>207.27186784784001</v>
      </c>
      <c r="Q124" s="116">
        <f>Aviation!Q58</f>
        <v>206.87215757981824</v>
      </c>
      <c r="R124" s="116">
        <f>Aviation!R58</f>
        <v>207.75547174028901</v>
      </c>
      <c r="S124" s="116">
        <f>Aviation!S58</f>
        <v>208.631784785908</v>
      </c>
      <c r="T124" s="116">
        <f>Aviation!T58</f>
        <v>209.50133259161456</v>
      </c>
      <c r="U124" s="116">
        <f>Aviation!U58</f>
        <v>210.3643474186521</v>
      </c>
      <c r="V124" s="116">
        <f>Aviation!V58</f>
        <v>211.22105778695243</v>
      </c>
      <c r="W124" s="116">
        <f>Aviation!W58</f>
        <v>212.07168836448051</v>
      </c>
      <c r="X124" s="116">
        <f>Aviation!X58</f>
        <v>212.91645987254336</v>
      </c>
      <c r="Y124" s="116">
        <f>Aviation!Y58</f>
        <v>213.7555890060903</v>
      </c>
      <c r="Z124" s="116">
        <f>Aviation!Z58</f>
        <v>214.58928836805867</v>
      </c>
      <c r="AA124" s="116">
        <f>Aviation!AA58</f>
        <v>215.01428079884315</v>
      </c>
      <c r="AB124" s="116">
        <f>Aviation!AB58</f>
        <v>215.43193007558975</v>
      </c>
      <c r="AC124" s="116">
        <f>Aviation!AC58</f>
        <v>215.84247051508947</v>
      </c>
      <c r="AD124" s="116">
        <f>Aviation!AD58</f>
        <v>216.24613061896346</v>
      </c>
      <c r="AE124" s="116">
        <f>Aviation!AE58</f>
        <v>216.64313311191191</v>
      </c>
      <c r="AF124" s="116">
        <f>Aviation!AF58</f>
        <v>217.03369498874665</v>
      </c>
      <c r="AG124" s="116">
        <f>Aviation!AG58</f>
        <v>217.4180275693827</v>
      </c>
      <c r="AH124" s="116">
        <f>Aviation!AH58</f>
        <v>217.79633656101154</v>
      </c>
      <c r="AI124" s="116">
        <f>Aviation!AI58</f>
        <v>218.16882212671982</v>
      </c>
      <c r="AJ124" s="116">
        <f>Aviation!AJ58</f>
        <v>218.5356789598635</v>
      </c>
      <c r="AK124" s="116">
        <f>Aviation!AK58</f>
        <v>219.11005226689633</v>
      </c>
      <c r="AL124" s="116">
        <f>Aviation!AL58</f>
        <v>219.68007064476214</v>
      </c>
      <c r="AM124" s="116">
        <f>Aviation!AM58</f>
        <v>220.44474073750285</v>
      </c>
      <c r="AO124" s="88">
        <f>ROW()</f>
        <v>124</v>
      </c>
    </row>
    <row r="125" spans="1:41" s="32" customFormat="1" ht="15" customHeight="1">
      <c r="B125" s="32" t="s">
        <v>740</v>
      </c>
      <c r="F125" s="526">
        <f t="shared" si="8"/>
        <v>0.14037717420562296</v>
      </c>
      <c r="G125" s="526">
        <f t="shared" si="9"/>
        <v>0.15174345697375916</v>
      </c>
      <c r="H125" s="526">
        <f t="shared" si="10"/>
        <v>0.15323581214900966</v>
      </c>
      <c r="I125" s="116">
        <f>Other_Petrol!I57</f>
        <v>896.21332613010907</v>
      </c>
      <c r="J125" s="116">
        <f>Other_Petrol!J57</f>
        <v>970.97164090567469</v>
      </c>
      <c r="K125" s="116">
        <f>Other_Petrol!K57</f>
        <v>909.73046037842676</v>
      </c>
      <c r="L125" s="116">
        <f>Other_Petrol!L57</f>
        <v>887.79622490450151</v>
      </c>
      <c r="M125" s="116">
        <f>Other_Petrol!M57</f>
        <v>858.5227817617332</v>
      </c>
      <c r="N125" s="116">
        <f>Other_Petrol!N57</f>
        <v>874.34349600338328</v>
      </c>
      <c r="O125" s="116">
        <f>Other_Petrol!O57</f>
        <v>882.55835891667039</v>
      </c>
      <c r="P125" s="116">
        <f>Other_Petrol!P57</f>
        <v>799.99115607948818</v>
      </c>
      <c r="Q125" s="116">
        <f>Other_Petrol!Q57</f>
        <v>809.26610399751883</v>
      </c>
      <c r="R125" s="116">
        <f>Other_Petrol!R57</f>
        <v>812.28323390515288</v>
      </c>
      <c r="S125" s="116">
        <f>Other_Petrol!S57</f>
        <v>815.26417835015582</v>
      </c>
      <c r="T125" s="116">
        <f>Other_Petrol!T57</f>
        <v>818.20958260623422</v>
      </c>
      <c r="U125" s="116">
        <f>Other_Petrol!U57</f>
        <v>821.12009115869671</v>
      </c>
      <c r="V125" s="116">
        <f>Other_Petrol!V57</f>
        <v>823.99634686336879</v>
      </c>
      <c r="W125" s="116">
        <f>Other_Petrol!W57</f>
        <v>826.83899015700024</v>
      </c>
      <c r="X125" s="116">
        <f>Other_Petrol!X57</f>
        <v>829.64865831794657</v>
      </c>
      <c r="Y125" s="116">
        <f>Other_Petrol!Y57</f>
        <v>832.42598477581043</v>
      </c>
      <c r="Z125" s="116">
        <f>Other_Petrol!Z57</f>
        <v>835.17159846865184</v>
      </c>
      <c r="AA125" s="116">
        <f>Other_Petrol!AA57</f>
        <v>836.70880316800265</v>
      </c>
      <c r="AB125" s="116">
        <f>Other_Petrol!AB57</f>
        <v>838.20965395317057</v>
      </c>
      <c r="AC125" s="116">
        <f>Other_Petrol!AC57</f>
        <v>839.67490212974587</v>
      </c>
      <c r="AD125" s="116">
        <f>Other_Petrol!AD57</f>
        <v>841.10528861125476</v>
      </c>
      <c r="AE125" s="116">
        <f>Other_Petrol!AE57</f>
        <v>842.50154355363793</v>
      </c>
      <c r="AF125" s="116">
        <f>Other_Petrol!AF57</f>
        <v>843.86438603101203</v>
      </c>
      <c r="AG125" s="116">
        <f>Other_Petrol!AG57</f>
        <v>845.19452375072956</v>
      </c>
      <c r="AH125" s="116">
        <f>Other_Petrol!AH57</f>
        <v>846.49265280576049</v>
      </c>
      <c r="AI125" s="116">
        <f>Other_Petrol!AI57</f>
        <v>847.75945746245918</v>
      </c>
      <c r="AJ125" s="116">
        <f>Other_Petrol!AJ57</f>
        <v>848.99560998181084</v>
      </c>
      <c r="AK125" s="116">
        <f>Other_Petrol!AK57</f>
        <v>850.82203958612649</v>
      </c>
      <c r="AL125" s="116">
        <f>Other_Petrol!AL57</f>
        <v>852.62129525199566</v>
      </c>
      <c r="AM125" s="116">
        <f>Other_Petrol!AM57</f>
        <v>854.97240681179392</v>
      </c>
      <c r="AO125" s="88">
        <f>ROW()</f>
        <v>125</v>
      </c>
    </row>
    <row r="126" spans="1:41" s="32" customFormat="1" ht="15" customHeight="1">
      <c r="B126" s="32" t="s">
        <v>739</v>
      </c>
      <c r="F126" s="526">
        <f t="shared" si="8"/>
        <v>8.7030115336873812E-2</v>
      </c>
      <c r="G126" s="526">
        <f t="shared" si="9"/>
        <v>9.9209542171314821E-2</v>
      </c>
      <c r="H126" s="526">
        <f t="shared" si="10"/>
        <v>0.10080866046167768</v>
      </c>
      <c r="I126" s="116">
        <f>'Other_Natural Gas'!I64</f>
        <v>585.94232361910008</v>
      </c>
      <c r="J126" s="116">
        <f>'Other_Natural Gas'!J64</f>
        <v>542.5909109157684</v>
      </c>
      <c r="K126" s="116">
        <f>'Other_Natural Gas'!K64</f>
        <v>575.20119129305317</v>
      </c>
      <c r="L126" s="116">
        <f>'Other_Natural Gas'!L64</f>
        <v>567.99940893351527</v>
      </c>
      <c r="M126" s="116">
        <f>'Other_Natural Gas'!M64</f>
        <v>507.45126774049845</v>
      </c>
      <c r="N126" s="116">
        <f>'Other_Natural Gas'!N64</f>
        <v>535.31747986489199</v>
      </c>
      <c r="O126" s="116">
        <f>'Other_Natural Gas'!O64</f>
        <v>519.20242147149497</v>
      </c>
      <c r="P126" s="116">
        <f>'Other_Natural Gas'!P64</f>
        <v>526.28713676369762</v>
      </c>
      <c r="Q126" s="116">
        <f>'Other_Natural Gas'!Q64</f>
        <v>574.79310483728295</v>
      </c>
      <c r="R126" s="34">
        <f>'Other_Natural Gas'!R64</f>
        <v>583.34730867403255</v>
      </c>
      <c r="S126" s="34">
        <f>'Other_Natural Gas'!S64</f>
        <v>592.00752989158036</v>
      </c>
      <c r="T126" s="34">
        <f>'Other_Natural Gas'!T64</f>
        <v>600.77474058671385</v>
      </c>
      <c r="U126" s="34">
        <f>'Other_Natural Gas'!U64</f>
        <v>609.64991989093323</v>
      </c>
      <c r="V126" s="34">
        <f>'Other_Natural Gas'!V64</f>
        <v>618.63405412740042</v>
      </c>
      <c r="W126" s="34">
        <f>'Other_Natural Gas'!W64</f>
        <v>627.7281369719326</v>
      </c>
      <c r="X126" s="34">
        <f>'Other_Natural Gas'!X64</f>
        <v>636.93316961798985</v>
      </c>
      <c r="Y126" s="34">
        <f>'Other_Natural Gas'!Y64</f>
        <v>646.25016094560488</v>
      </c>
      <c r="Z126" s="34">
        <f>'Other_Natural Gas'!Z64</f>
        <v>655.68012769420454</v>
      </c>
      <c r="AA126" s="34">
        <f>'Other_Natural Gas'!AA64</f>
        <v>665.22409463926135</v>
      </c>
      <c r="AB126" s="34">
        <f>'Other_Natural Gas'!AB64</f>
        <v>672.17801574496355</v>
      </c>
      <c r="AC126" s="34">
        <f>'Other_Natural Gas'!AC64</f>
        <v>679.14833161282331</v>
      </c>
      <c r="AD126" s="34">
        <f>'Other_Natural Gas'!AD64</f>
        <v>686.13428788978683</v>
      </c>
      <c r="AE126" s="34">
        <f>'Other_Natural Gas'!AE64</f>
        <v>693.13514362052911</v>
      </c>
      <c r="AF126" s="34">
        <f>'Other_Natural Gas'!AF64</f>
        <v>700.15017204918706</v>
      </c>
      <c r="AG126" s="34">
        <f>'Other_Natural Gas'!AG64</f>
        <v>707.17866138692341</v>
      </c>
      <c r="AH126" s="34">
        <f>'Other_Natural Gas'!AH64</f>
        <v>714.21991554395584</v>
      </c>
      <c r="AI126" s="34">
        <f>'Other_Natural Gas'!AI64</f>
        <v>721.27325482482843</v>
      </c>
      <c r="AJ126" s="34">
        <f>'Other_Natural Gas'!AJ64</f>
        <v>728.33801658584207</v>
      </c>
      <c r="AK126" s="34">
        <f>'Other_Natural Gas'!AK64</f>
        <v>735.41355585371116</v>
      </c>
      <c r="AL126" s="34">
        <f>'Other_Natural Gas'!AL64</f>
        <v>739.0545275604926</v>
      </c>
      <c r="AM126" s="34">
        <f>'Other_Natural Gas'!AM64</f>
        <v>742.55701428797317</v>
      </c>
      <c r="AO126" s="88">
        <f>ROW()</f>
        <v>126</v>
      </c>
    </row>
    <row r="127" spans="1:41" s="32" customFormat="1" ht="15" customHeight="1">
      <c r="E127" s="487"/>
      <c r="F127" s="487"/>
      <c r="G127" s="488"/>
      <c r="H127" s="488"/>
      <c r="I127" s="489" t="s">
        <v>657</v>
      </c>
      <c r="J127" s="491">
        <f t="shared" ref="J127:P127" si="11">(J120-$I$120)/$I$120</f>
        <v>-2.5121275276400895E-3</v>
      </c>
      <c r="K127" s="491">
        <f t="shared" si="11"/>
        <v>5.5260952179434896E-3</v>
      </c>
      <c r="L127" s="491">
        <f t="shared" si="11"/>
        <v>-2.270912882286109E-2</v>
      </c>
      <c r="M127" s="491">
        <f t="shared" si="11"/>
        <v>-8.4604319107665471E-2</v>
      </c>
      <c r="N127" s="491">
        <f t="shared" si="11"/>
        <v>-5.2445769483948856E-2</v>
      </c>
      <c r="O127" s="491">
        <f t="shared" si="11"/>
        <v>-7.5769095522252208E-2</v>
      </c>
      <c r="P127" s="491">
        <f t="shared" si="11"/>
        <v>-0.11605857337464202</v>
      </c>
      <c r="Q127" s="116"/>
      <c r="R127" s="34"/>
      <c r="S127" s="34"/>
      <c r="T127" s="34"/>
      <c r="U127" s="34"/>
      <c r="V127" s="34"/>
      <c r="W127" s="34"/>
      <c r="X127" s="34"/>
      <c r="Y127" s="34"/>
      <c r="Z127" s="34"/>
      <c r="AA127" s="34"/>
      <c r="AB127" s="34"/>
      <c r="AC127" s="34"/>
      <c r="AD127" s="34"/>
      <c r="AE127" s="34"/>
      <c r="AF127" s="34"/>
      <c r="AG127" s="34"/>
      <c r="AH127" s="34"/>
      <c r="AI127" s="34"/>
      <c r="AJ127" s="34"/>
      <c r="AK127" s="34"/>
      <c r="AL127" s="34"/>
      <c r="AM127" s="34"/>
      <c r="AO127" s="88">
        <f>ROW()</f>
        <v>127</v>
      </c>
    </row>
    <row r="128" spans="1:41" s="32" customFormat="1" ht="15" customHeight="1">
      <c r="I128" s="122"/>
      <c r="J128" s="122"/>
      <c r="K128" s="122"/>
      <c r="L128" s="122"/>
      <c r="M128" s="115"/>
      <c r="N128" s="115"/>
      <c r="O128" s="115"/>
      <c r="P128" s="115"/>
      <c r="Q128" s="122"/>
      <c r="R128" s="34"/>
      <c r="S128" s="34"/>
      <c r="T128" s="34"/>
      <c r="U128" s="34"/>
      <c r="V128" s="34"/>
      <c r="W128" s="34"/>
      <c r="X128" s="34"/>
      <c r="Y128" s="34"/>
      <c r="Z128" s="34"/>
      <c r="AA128" s="34"/>
      <c r="AB128" s="34"/>
      <c r="AC128" s="34"/>
      <c r="AD128" s="34"/>
      <c r="AE128" s="34"/>
      <c r="AF128" s="34"/>
      <c r="AG128" s="34"/>
      <c r="AH128" s="34"/>
      <c r="AI128" s="34"/>
      <c r="AJ128" s="34"/>
      <c r="AK128" s="34"/>
      <c r="AL128" s="34"/>
      <c r="AM128" s="34"/>
      <c r="AO128" s="88">
        <f>ROW()</f>
        <v>128</v>
      </c>
    </row>
    <row r="129" spans="1:41" s="8" customFormat="1" ht="15" customHeight="1">
      <c r="A129" s="32"/>
      <c r="B129" s="8" t="s">
        <v>603</v>
      </c>
      <c r="I129" s="115">
        <f t="shared" ref="I129:P129" si="12">I120</f>
        <v>5906.108533464414</v>
      </c>
      <c r="J129" s="115">
        <f t="shared" si="12"/>
        <v>5891.271635636268</v>
      </c>
      <c r="K129" s="115">
        <f t="shared" si="12"/>
        <v>5938.7462515878469</v>
      </c>
      <c r="L129" s="115">
        <f t="shared" si="12"/>
        <v>5771.9859539361714</v>
      </c>
      <c r="M129" s="115">
        <f t="shared" si="12"/>
        <v>5406.4262424146846</v>
      </c>
      <c r="N129" s="115">
        <f t="shared" si="12"/>
        <v>5596.3581267711561</v>
      </c>
      <c r="O129" s="115">
        <f t="shared" si="12"/>
        <v>5458.6080318275599</v>
      </c>
      <c r="P129" s="115">
        <f t="shared" si="12"/>
        <v>5220.6540028747349</v>
      </c>
      <c r="Q129" s="25">
        <f t="shared" ref="Q129:AM129" si="13">SUM(Q130:Q135)</f>
        <v>4191.9939255567197</v>
      </c>
      <c r="R129" s="25">
        <f t="shared" si="13"/>
        <v>4219.8271313958867</v>
      </c>
      <c r="S129" s="25">
        <f t="shared" si="13"/>
        <v>4247.728675551979</v>
      </c>
      <c r="T129" s="25">
        <f t="shared" si="13"/>
        <v>4275.6999359240808</v>
      </c>
      <c r="U129" s="25">
        <f t="shared" si="13"/>
        <v>4303.7423796323583</v>
      </c>
      <c r="V129" s="25">
        <f t="shared" si="13"/>
        <v>4331.8575606678751</v>
      </c>
      <c r="W129" s="25">
        <f t="shared" si="13"/>
        <v>4360.0471174485028</v>
      </c>
      <c r="X129" s="25">
        <f t="shared" si="13"/>
        <v>4388.3127702944366</v>
      </c>
      <c r="Y129" s="25">
        <f t="shared" si="13"/>
        <v>4416.6563188366699</v>
      </c>
      <c r="Z129" s="25">
        <f t="shared" si="13"/>
        <v>4445.0796393713526</v>
      </c>
      <c r="AA129" s="25">
        <f t="shared" si="13"/>
        <v>4470.1908599402877</v>
      </c>
      <c r="AB129" s="25">
        <f t="shared" si="13"/>
        <v>4485.2146989256389</v>
      </c>
      <c r="AC129" s="25">
        <f t="shared" si="13"/>
        <v>4500.1728879728271</v>
      </c>
      <c r="AD129" s="25">
        <f t="shared" si="13"/>
        <v>4515.0675005247122</v>
      </c>
      <c r="AE129" s="25">
        <f t="shared" si="13"/>
        <v>4529.9006245295532</v>
      </c>
      <c r="AF129" s="25">
        <f t="shared" si="13"/>
        <v>4544.6743595948237</v>
      </c>
      <c r="AG129" s="25">
        <f t="shared" si="13"/>
        <v>4559.3908142686041</v>
      </c>
      <c r="AH129" s="25">
        <f t="shared" si="13"/>
        <v>4574.0521034534559</v>
      </c>
      <c r="AI129" s="25">
        <f t="shared" si="13"/>
        <v>4588.6603459567195</v>
      </c>
      <c r="AJ129" s="25">
        <f t="shared" si="13"/>
        <v>4603.2176621802164</v>
      </c>
      <c r="AK129" s="25">
        <f t="shared" si="13"/>
        <v>4619.5791914627152</v>
      </c>
      <c r="AL129" s="25">
        <f t="shared" si="13"/>
        <v>4628.7272768794373</v>
      </c>
      <c r="AM129" s="25">
        <f t="shared" si="13"/>
        <v>4639.4914606747079</v>
      </c>
      <c r="AN129" s="11"/>
      <c r="AO129" s="88">
        <f>ROW()</f>
        <v>129</v>
      </c>
    </row>
    <row r="130" spans="1:41" s="32" customFormat="1" ht="15" customHeight="1">
      <c r="A130" s="8"/>
      <c r="B130" s="32" t="s">
        <v>4</v>
      </c>
      <c r="H130" s="33"/>
      <c r="I130" s="34">
        <f>I121</f>
        <v>2414.2999999999997</v>
      </c>
      <c r="J130" s="34">
        <f t="shared" ref="J130:P130" si="14">J121</f>
        <v>2358.6</v>
      </c>
      <c r="K130" s="34">
        <f t="shared" si="14"/>
        <v>2425.1999999999998</v>
      </c>
      <c r="L130" s="34">
        <f t="shared" si="14"/>
        <v>2372.4</v>
      </c>
      <c r="M130" s="34">
        <f t="shared" si="14"/>
        <v>2157.7999999999997</v>
      </c>
      <c r="N130" s="34">
        <f t="shared" si="14"/>
        <v>2270.7999999999997</v>
      </c>
      <c r="O130" s="34">
        <f t="shared" si="14"/>
        <v>2170</v>
      </c>
      <c r="P130" s="34">
        <f t="shared" si="14"/>
        <v>2035.4943018923852</v>
      </c>
      <c r="Q130" s="34">
        <f>Electricity!Q74</f>
        <v>1398.4064618529751</v>
      </c>
      <c r="R130" s="34">
        <f>Electricity!R74</f>
        <v>1401.2882328415103</v>
      </c>
      <c r="S130" s="34">
        <f>Electricity!S74</f>
        <v>1404.1553107574223</v>
      </c>
      <c r="T130" s="34">
        <f>Electricity!T74</f>
        <v>1407.0077225942796</v>
      </c>
      <c r="U130" s="34">
        <f>Electricity!U74</f>
        <v>1409.8454967499572</v>
      </c>
      <c r="V130" s="34">
        <f>Electricity!V74</f>
        <v>1412.6686630014783</v>
      </c>
      <c r="W130" s="34">
        <f>Electricity!W74</f>
        <v>1415.4772524798489</v>
      </c>
      <c r="X130" s="34">
        <f>Electricity!X74</f>
        <v>1418.271297644905</v>
      </c>
      <c r="Y130" s="34">
        <f>Electricity!Y74</f>
        <v>1421.050832260172</v>
      </c>
      <c r="Z130" s="34">
        <f>Electricity!Z74</f>
        <v>1423.8158913677539</v>
      </c>
      <c r="AA130" s="34">
        <f>Electricity!AA74</f>
        <v>1426.5665112632651</v>
      </c>
      <c r="AB130" s="34">
        <f>Electricity!AB74</f>
        <v>1420.8481250298803</v>
      </c>
      <c r="AC130" s="34">
        <f>Electricity!AC74</f>
        <v>1415.080007697265</v>
      </c>
      <c r="AD130" s="34">
        <f>Electricity!AD74</f>
        <v>1409.2639980002955</v>
      </c>
      <c r="AE130" s="34">
        <f>Electricity!AE74</f>
        <v>1403.4019164513813</v>
      </c>
      <c r="AF130" s="34">
        <f>Electricity!AF74</f>
        <v>1397.4955645622967</v>
      </c>
      <c r="AG130" s="34">
        <f>Electricity!AG74</f>
        <v>1391.5467241114807</v>
      </c>
      <c r="AH130" s="34">
        <f>Electricity!AH74</f>
        <v>1385.5571564561815</v>
      </c>
      <c r="AI130" s="34">
        <f>Electricity!AI74</f>
        <v>1379.5286018887625</v>
      </c>
      <c r="AJ130" s="34">
        <f>Electricity!AJ74</f>
        <v>1373.4627790364061</v>
      </c>
      <c r="AK130" s="34">
        <f>Electricity!AK74</f>
        <v>1367.3613843034295</v>
      </c>
      <c r="AL130" s="34">
        <f>Electricity!AL74</f>
        <v>1355.9004885749307</v>
      </c>
      <c r="AM130" s="34">
        <f>Electricity!AM74</f>
        <v>1344.4357770872357</v>
      </c>
      <c r="AO130" s="88">
        <f>ROW()</f>
        <v>130</v>
      </c>
    </row>
    <row r="131" spans="1:41" s="32" customFormat="1" ht="15" customHeight="1">
      <c r="B131" s="32" t="s">
        <v>222</v>
      </c>
      <c r="H131" s="33"/>
      <c r="I131" s="34">
        <f t="shared" ref="I131:P131" si="15">I122</f>
        <v>1246.2197147552799</v>
      </c>
      <c r="J131" s="34">
        <f t="shared" si="15"/>
        <v>1256.2061927521904</v>
      </c>
      <c r="K131" s="34">
        <f t="shared" si="15"/>
        <v>1264.0552866209557</v>
      </c>
      <c r="L131" s="34">
        <f t="shared" si="15"/>
        <v>1223.0844262191999</v>
      </c>
      <c r="M131" s="34">
        <f t="shared" si="15"/>
        <v>1222.6603237093377</v>
      </c>
      <c r="N131" s="34">
        <f t="shared" si="15"/>
        <v>1229.2205105919218</v>
      </c>
      <c r="O131" s="34">
        <f t="shared" si="15"/>
        <v>1188.6555205099994</v>
      </c>
      <c r="P131" s="34">
        <f t="shared" si="15"/>
        <v>1184.1450943945235</v>
      </c>
      <c r="Q131" s="34">
        <f>'Personal Ground Travel'!Q64</f>
        <v>1059.5683027892867</v>
      </c>
      <c r="R131" s="34">
        <f>'Personal Ground Travel'!R64</f>
        <v>1069.3039129618157</v>
      </c>
      <c r="S131" s="34">
        <f>'Personal Ground Travel'!S64</f>
        <v>1079.0858185231457</v>
      </c>
      <c r="T131" s="34">
        <f>'Personal Ground Travel'!T64</f>
        <v>1088.9143756399653</v>
      </c>
      <c r="U131" s="34">
        <f>'Personal Ground Travel'!U64</f>
        <v>1098.7899540522376</v>
      </c>
      <c r="V131" s="34">
        <f>'Personal Ground Travel'!V64</f>
        <v>1108.7129368329208</v>
      </c>
      <c r="W131" s="34">
        <f>'Personal Ground Travel'!W64</f>
        <v>1118.6837201439639</v>
      </c>
      <c r="X131" s="34">
        <f>'Personal Ground Travel'!X64</f>
        <v>1128.702712989256</v>
      </c>
      <c r="Y131" s="34">
        <f>'Personal Ground Travel'!Y64</f>
        <v>1138.7703369651977</v>
      </c>
      <c r="Z131" s="34">
        <f>'Personal Ground Travel'!Z64</f>
        <v>1148.8870260095298</v>
      </c>
      <c r="AA131" s="34">
        <f>'Personal Ground Travel'!AA64</f>
        <v>1157.6054736325348</v>
      </c>
      <c r="AB131" s="34">
        <f>'Personal Ground Travel'!AB64</f>
        <v>1166.3501928487813</v>
      </c>
      <c r="AC131" s="34">
        <f>'Personal Ground Travel'!AC64</f>
        <v>1175.1215098547145</v>
      </c>
      <c r="AD131" s="34">
        <f>'Personal Ground Travel'!AD64</f>
        <v>1183.9197601747119</v>
      </c>
      <c r="AE131" s="34">
        <f>'Personal Ground Travel'!AE64</f>
        <v>1192.7452883473327</v>
      </c>
      <c r="AF131" s="34">
        <f>'Personal Ground Travel'!AF64</f>
        <v>1201.5984476151543</v>
      </c>
      <c r="AG131" s="34">
        <f>'Personal Ground Travel'!AG64</f>
        <v>1210.4795996186072</v>
      </c>
      <c r="AH131" s="34">
        <f>'Personal Ground Travel'!AH64</f>
        <v>1219.3891140941921</v>
      </c>
      <c r="AI131" s="34">
        <f>'Personal Ground Travel'!AI64</f>
        <v>1228.3273685774295</v>
      </c>
      <c r="AJ131" s="34">
        <f>'Personal Ground Travel'!AJ64</f>
        <v>1237.2947481108608</v>
      </c>
      <c r="AK131" s="34">
        <f>'Personal Ground Travel'!AK64</f>
        <v>1247.0998242418784</v>
      </c>
      <c r="AL131" s="34">
        <f>'Personal Ground Travel'!AL64</f>
        <v>1256.9470519470829</v>
      </c>
      <c r="AM131" s="34">
        <f>'Personal Ground Travel'!AM64</f>
        <v>1267.5992734403981</v>
      </c>
      <c r="AO131" s="88">
        <f>ROW()</f>
        <v>131</v>
      </c>
    </row>
    <row r="132" spans="1:41" s="32" customFormat="1" ht="15" customHeight="1">
      <c r="B132" s="32" t="s">
        <v>164</v>
      </c>
      <c r="H132" s="33"/>
      <c r="I132" s="34">
        <f t="shared" ref="I132:P132" si="16">I123</f>
        <v>514.33831318509306</v>
      </c>
      <c r="J132" s="34">
        <f t="shared" si="16"/>
        <v>520.72193808811414</v>
      </c>
      <c r="K132" s="34">
        <f t="shared" si="16"/>
        <v>524.06800169899134</v>
      </c>
      <c r="L132" s="34">
        <f t="shared" si="16"/>
        <v>492.78062079101261</v>
      </c>
      <c r="M132" s="34">
        <f t="shared" si="16"/>
        <v>453.52089048839792</v>
      </c>
      <c r="N132" s="34">
        <f t="shared" si="16"/>
        <v>474.65767081197976</v>
      </c>
      <c r="O132" s="34">
        <f t="shared" si="16"/>
        <v>486.96528963302654</v>
      </c>
      <c r="P132" s="34">
        <f t="shared" si="16"/>
        <v>467.46444589680084</v>
      </c>
      <c r="Q132" s="34">
        <f>Freight!Q69</f>
        <v>401.0536107636147</v>
      </c>
      <c r="R132" s="34">
        <f>Freight!R69</f>
        <v>403.70469496126793</v>
      </c>
      <c r="S132" s="34">
        <f>Freight!S69</f>
        <v>406.33063686356758</v>
      </c>
      <c r="T132" s="34">
        <f>Freight!T69</f>
        <v>408.93126328152766</v>
      </c>
      <c r="U132" s="34">
        <f>Freight!U69</f>
        <v>411.50642875963104</v>
      </c>
      <c r="V132" s="34">
        <f>Freight!V69</f>
        <v>414.05601504705641</v>
      </c>
      <c r="W132" s="34">
        <f>Freight!W69</f>
        <v>416.57993052227124</v>
      </c>
      <c r="X132" s="34">
        <f>Freight!X69</f>
        <v>419.07810957460862</v>
      </c>
      <c r="Y132" s="34">
        <f>Freight!Y69</f>
        <v>421.55051194648479</v>
      </c>
      <c r="Z132" s="34">
        <f>Freight!Z69</f>
        <v>423.99712203993829</v>
      </c>
      <c r="AA132" s="34">
        <f>Freight!AA69</f>
        <v>425.88531720955672</v>
      </c>
      <c r="AB132" s="34">
        <f>Freight!AB69</f>
        <v>427.7424457030707</v>
      </c>
      <c r="AC132" s="34">
        <f>Freight!AC69</f>
        <v>429.568667987141</v>
      </c>
      <c r="AD132" s="34">
        <f>Freight!AD69</f>
        <v>431.36416549589069</v>
      </c>
      <c r="AE132" s="34">
        <f>Freight!AE69</f>
        <v>433.12913968551635</v>
      </c>
      <c r="AF132" s="34">
        <f>Freight!AF69</f>
        <v>434.86381108118604</v>
      </c>
      <c r="AG132" s="34">
        <f>Freight!AG69</f>
        <v>436.56841831954858</v>
      </c>
      <c r="AH132" s="34">
        <f>Freight!AH69</f>
        <v>438.24321719002489</v>
      </c>
      <c r="AI132" s="34">
        <f>Freight!AI69</f>
        <v>439.8884796778957</v>
      </c>
      <c r="AJ132" s="34">
        <f>Freight!AJ69</f>
        <v>441.50449301203042</v>
      </c>
      <c r="AK132" s="34">
        <f>Freight!AK69</f>
        <v>443.37888907341448</v>
      </c>
      <c r="AL132" s="34">
        <f>Freight!AL69</f>
        <v>445.22686056462311</v>
      </c>
      <c r="AM132" s="34">
        <f>Freight!AM69</f>
        <v>447.31770974958505</v>
      </c>
      <c r="AO132" s="88">
        <f>ROW()</f>
        <v>132</v>
      </c>
    </row>
    <row r="133" spans="1:41" s="32" customFormat="1" ht="15" customHeight="1">
      <c r="B133" s="32" t="s">
        <v>223</v>
      </c>
      <c r="H133" s="33"/>
      <c r="I133" s="34">
        <f t="shared" ref="I133:P133" si="17">I124</f>
        <v>249.0948557748321</v>
      </c>
      <c r="J133" s="34">
        <f t="shared" si="17"/>
        <v>242.18095297452081</v>
      </c>
      <c r="K133" s="34">
        <f t="shared" si="17"/>
        <v>240.49131159641982</v>
      </c>
      <c r="L133" s="34">
        <f t="shared" si="17"/>
        <v>227.92527308794266</v>
      </c>
      <c r="M133" s="34">
        <f t="shared" si="17"/>
        <v>206.47097871471823</v>
      </c>
      <c r="N133" s="34">
        <f t="shared" si="17"/>
        <v>212.0189694989798</v>
      </c>
      <c r="O133" s="34">
        <f t="shared" si="17"/>
        <v>211.22644129636862</v>
      </c>
      <c r="P133" s="34">
        <f t="shared" si="17"/>
        <v>207.27186784784001</v>
      </c>
      <c r="Q133" s="34">
        <f>Aviation!Q69</f>
        <v>177.35541974053575</v>
      </c>
      <c r="R133" s="34">
        <f>Aviation!R69</f>
        <v>178.94445581474366</v>
      </c>
      <c r="S133" s="34">
        <f>Aviation!S69</f>
        <v>180.51609512685914</v>
      </c>
      <c r="T133" s="34">
        <f>Aviation!T69</f>
        <v>182.07024201304864</v>
      </c>
      <c r="U133" s="34">
        <f>Aviation!U69</f>
        <v>183.60683076210427</v>
      </c>
      <c r="V133" s="34">
        <f>Aviation!V69</f>
        <v>185.12582459042105</v>
      </c>
      <c r="W133" s="34">
        <f>Aviation!W69</f>
        <v>186.62721456236275</v>
      </c>
      <c r="X133" s="34">
        <f>Aviation!X69</f>
        <v>188.11101846436873</v>
      </c>
      <c r="Y133" s="34">
        <f>Aviation!Y69</f>
        <v>189.57727964094454</v>
      </c>
      <c r="Z133" s="34">
        <f>Aviation!Z69</f>
        <v>191.02606580041132</v>
      </c>
      <c r="AA133" s="34">
        <f>Aviation!AA69</f>
        <v>192.0969876870461</v>
      </c>
      <c r="AB133" s="34">
        <f>Aviation!AB69</f>
        <v>193.14602089536191</v>
      </c>
      <c r="AC133" s="34">
        <f>Aviation!AC69</f>
        <v>194.17340858852455</v>
      </c>
      <c r="AD133" s="34">
        <f>Aviation!AD69</f>
        <v>195.17941182311407</v>
      </c>
      <c r="AE133" s="34">
        <f>Aviation!AE69</f>
        <v>196.16430814638318</v>
      </c>
      <c r="AF133" s="34">
        <f>Aviation!AF69</f>
        <v>197.12839021745313</v>
      </c>
      <c r="AG133" s="34">
        <f>Aviation!AG69</f>
        <v>198.07196445722835</v>
      </c>
      <c r="AH133" s="34">
        <f>Aviation!AH69</f>
        <v>198.99534973128783</v>
      </c>
      <c r="AI133" s="34">
        <f>Aviation!AI69</f>
        <v>199.8988760694894</v>
      </c>
      <c r="AJ133" s="34">
        <f>Aviation!AJ69</f>
        <v>200.78288342552599</v>
      </c>
      <c r="AK133" s="34">
        <f>Aviation!AK69</f>
        <v>201.8438951803852</v>
      </c>
      <c r="AL133" s="34">
        <f>Aviation!AL69</f>
        <v>202.88793065830436</v>
      </c>
      <c r="AM133" s="34">
        <f>Aviation!AM69</f>
        <v>204.09939922606273</v>
      </c>
      <c r="AO133" s="88">
        <f>ROW()</f>
        <v>133</v>
      </c>
    </row>
    <row r="134" spans="1:41" s="32" customFormat="1" ht="15" customHeight="1">
      <c r="B134" s="32" t="s">
        <v>740</v>
      </c>
      <c r="H134" s="33"/>
      <c r="I134" s="34">
        <f t="shared" ref="I134:P134" si="18">I125</f>
        <v>896.21332613010907</v>
      </c>
      <c r="J134" s="34">
        <f t="shared" si="18"/>
        <v>970.97164090567469</v>
      </c>
      <c r="K134" s="34">
        <f t="shared" si="18"/>
        <v>909.73046037842676</v>
      </c>
      <c r="L134" s="34">
        <f t="shared" si="18"/>
        <v>887.79622490450151</v>
      </c>
      <c r="M134" s="34">
        <f t="shared" si="18"/>
        <v>858.5227817617332</v>
      </c>
      <c r="N134" s="34">
        <f t="shared" si="18"/>
        <v>874.34349600338328</v>
      </c>
      <c r="O134" s="34">
        <f t="shared" si="18"/>
        <v>882.55835891667039</v>
      </c>
      <c r="P134" s="34">
        <f t="shared" si="18"/>
        <v>799.99115607948818</v>
      </c>
      <c r="Q134" s="34">
        <f>Other_Petrol!Q69</f>
        <v>714.65888359722749</v>
      </c>
      <c r="R134" s="34">
        <f>Other_Petrol!R69</f>
        <v>718.25598287992693</v>
      </c>
      <c r="S134" s="34">
        <f>Other_Petrol!S69</f>
        <v>721.82500570152922</v>
      </c>
      <c r="T134" s="34">
        <f>Other_Petrol!T69</f>
        <v>725.36604207356174</v>
      </c>
      <c r="U134" s="34">
        <f>Other_Petrol!U69</f>
        <v>728.87919292973072</v>
      </c>
      <c r="V134" s="34">
        <f>Other_Petrol!V69</f>
        <v>732.3645696177083</v>
      </c>
      <c r="W134" s="34">
        <f>Other_Petrol!W69</f>
        <v>735.8222933978376</v>
      </c>
      <c r="X134" s="34">
        <f>Other_Petrol!X69</f>
        <v>739.25249494945513</v>
      </c>
      <c r="Y134" s="34">
        <f>Other_Petrol!Y69</f>
        <v>742.65531388545821</v>
      </c>
      <c r="Z134" s="34">
        <f>Other_Petrol!Z69</f>
        <v>746.03089827569147</v>
      </c>
      <c r="AA134" s="34">
        <f>Other_Petrol!AA69</f>
        <v>748.32644555637421</v>
      </c>
      <c r="AB134" s="34">
        <f>Other_Petrol!AB69</f>
        <v>750.58722963558148</v>
      </c>
      <c r="AC134" s="34">
        <f>Other_Petrol!AC69</f>
        <v>752.81355134352225</v>
      </c>
      <c r="AD134" s="34">
        <f>Other_Petrol!AD69</f>
        <v>755.00571681396173</v>
      </c>
      <c r="AE134" s="34">
        <f>Other_Petrol!AE69</f>
        <v>757.16403701909167</v>
      </c>
      <c r="AF134" s="34">
        <f>Other_Petrol!AF69</f>
        <v>759.28882731919236</v>
      </c>
      <c r="AG134" s="34">
        <f>Other_Petrol!AG69</f>
        <v>761.38040702717717</v>
      </c>
      <c r="AH134" s="34">
        <f>Other_Petrol!AH69</f>
        <v>763.43909898806726</v>
      </c>
      <c r="AI134" s="34">
        <f>Other_Petrol!AI69</f>
        <v>765.46522917339632</v>
      </c>
      <c r="AJ134" s="34">
        <f>Other_Petrol!AJ69</f>
        <v>767.459126290516</v>
      </c>
      <c r="AK134" s="34">
        <f>Other_Petrol!AK69</f>
        <v>769.98245657881773</v>
      </c>
      <c r="AL134" s="34">
        <f>Other_Petrol!AL69</f>
        <v>772.47744518966624</v>
      </c>
      <c r="AM134" s="34">
        <f>Other_Petrol!AM69</f>
        <v>775.46902664381048</v>
      </c>
      <c r="AO134" s="88">
        <f>ROW()</f>
        <v>134</v>
      </c>
    </row>
    <row r="135" spans="1:41" s="32" customFormat="1" ht="15" customHeight="1">
      <c r="B135" s="32" t="s">
        <v>739</v>
      </c>
      <c r="H135" s="33"/>
      <c r="I135" s="34">
        <f t="shared" ref="I135:P135" si="19">I126</f>
        <v>585.94232361910008</v>
      </c>
      <c r="J135" s="34">
        <f t="shared" si="19"/>
        <v>542.5909109157684</v>
      </c>
      <c r="K135" s="34">
        <f t="shared" si="19"/>
        <v>575.20119129305317</v>
      </c>
      <c r="L135" s="34">
        <f t="shared" si="19"/>
        <v>567.99940893351527</v>
      </c>
      <c r="M135" s="34">
        <f t="shared" si="19"/>
        <v>507.45126774049845</v>
      </c>
      <c r="N135" s="34">
        <f t="shared" si="19"/>
        <v>535.31747986489199</v>
      </c>
      <c r="O135" s="34">
        <f t="shared" si="19"/>
        <v>519.20242147149497</v>
      </c>
      <c r="P135" s="34">
        <f t="shared" si="19"/>
        <v>526.28713676369762</v>
      </c>
      <c r="Q135" s="34">
        <f>'Other_Natural Gas'!Q81</f>
        <v>440.95124681307936</v>
      </c>
      <c r="R135" s="34">
        <f>'Other_Natural Gas'!R81</f>
        <v>448.32985193662131</v>
      </c>
      <c r="S135" s="34">
        <f>'Other_Natural Gas'!S81</f>
        <v>455.81580857945448</v>
      </c>
      <c r="T135" s="34">
        <f>'Other_Natural Gas'!T81</f>
        <v>463.41029032169786</v>
      </c>
      <c r="U135" s="34">
        <f>'Other_Natural Gas'!U81</f>
        <v>471.11447637869668</v>
      </c>
      <c r="V135" s="34">
        <f>'Other_Natural Gas'!V81</f>
        <v>478.92955157829101</v>
      </c>
      <c r="W135" s="34">
        <f>'Other_Natural Gas'!W81</f>
        <v>486.85670634221793</v>
      </c>
      <c r="X135" s="34">
        <f>'Other_Natural Gas'!X81</f>
        <v>494.89713667184253</v>
      </c>
      <c r="Y135" s="34">
        <f>'Other_Natural Gas'!Y81</f>
        <v>503.05204413841261</v>
      </c>
      <c r="Z135" s="34">
        <f>'Other_Natural Gas'!Z81</f>
        <v>511.32263587802765</v>
      </c>
      <c r="AA135" s="34">
        <f>'Other_Natural Gas'!AA81</f>
        <v>519.71012459151041</v>
      </c>
      <c r="AB135" s="34">
        <f>'Other_Natural Gas'!AB81</f>
        <v>526.54068481296349</v>
      </c>
      <c r="AC135" s="34">
        <f>'Other_Natural Gas'!AC81</f>
        <v>533.41574250165979</v>
      </c>
      <c r="AD135" s="34">
        <f>'Other_Natural Gas'!AD81</f>
        <v>540.33444821673845</v>
      </c>
      <c r="AE135" s="34">
        <f>'Other_Natural Gas'!AE81</f>
        <v>547.29593487984778</v>
      </c>
      <c r="AF135" s="34">
        <f>'Other_Natural Gas'!AF81</f>
        <v>554.29931879954097</v>
      </c>
      <c r="AG135" s="34">
        <f>'Other_Natural Gas'!AG81</f>
        <v>561.34370073456228</v>
      </c>
      <c r="AH135" s="34">
        <f>'Other_Natural Gas'!AH81</f>
        <v>568.42816699370235</v>
      </c>
      <c r="AI135" s="34">
        <f>'Other_Natural Gas'!AI81</f>
        <v>575.55179056974578</v>
      </c>
      <c r="AJ135" s="34">
        <f>'Other_Natural Gas'!AJ81</f>
        <v>582.7136323048768</v>
      </c>
      <c r="AK135" s="34">
        <f>'Other_Natural Gas'!AK81</f>
        <v>589.91274208478978</v>
      </c>
      <c r="AL135" s="34">
        <f>'Other_Natural Gas'!AL81</f>
        <v>595.28749994483064</v>
      </c>
      <c r="AM135" s="34">
        <f>'Other_Natural Gas'!AM81</f>
        <v>600.57027452761622</v>
      </c>
      <c r="AO135" s="88">
        <f>ROW()</f>
        <v>135</v>
      </c>
    </row>
    <row r="136" spans="1:41" s="32" customFormat="1" ht="15" customHeight="1">
      <c r="E136"/>
      <c r="F136"/>
      <c r="G136"/>
      <c r="H136"/>
      <c r="K136"/>
      <c r="L136" s="496"/>
      <c r="M136" s="495"/>
      <c r="N136" s="495"/>
      <c r="O136" s="495"/>
      <c r="P136" s="495" t="s">
        <v>658</v>
      </c>
      <c r="Q136" s="497">
        <f t="shared" ref="Q136:AM136" si="20">(Q129-$I$129)/$I$129</f>
        <v>-0.29022741424330489</v>
      </c>
      <c r="R136" s="497">
        <f t="shared" si="20"/>
        <v>-0.28551480090722037</v>
      </c>
      <c r="S136" s="497">
        <f t="shared" si="20"/>
        <v>-0.28079061678530653</v>
      </c>
      <c r="T136" s="497">
        <f t="shared" si="20"/>
        <v>-0.27605462857689234</v>
      </c>
      <c r="U136" s="497">
        <f t="shared" si="20"/>
        <v>-0.27130658787473</v>
      </c>
      <c r="V136" s="497">
        <f t="shared" si="20"/>
        <v>-0.26654623156291923</v>
      </c>
      <c r="W136" s="497">
        <f t="shared" si="20"/>
        <v>-0.26177328223073137</v>
      </c>
      <c r="X136" s="497">
        <f t="shared" si="20"/>
        <v>-0.25698744860004569</v>
      </c>
      <c r="Y136" s="497">
        <f t="shared" si="20"/>
        <v>-0.25218842596413632</v>
      </c>
      <c r="Z136" s="497">
        <f t="shared" si="20"/>
        <v>-0.24737589663562259</v>
      </c>
      <c r="AA136" s="497">
        <f t="shared" si="20"/>
        <v>-0.24312415956938799</v>
      </c>
      <c r="AB136" s="497">
        <f t="shared" si="20"/>
        <v>-0.24058037987075476</v>
      </c>
      <c r="AC136" s="497">
        <f t="shared" si="20"/>
        <v>-0.23804771577180805</v>
      </c>
      <c r="AD136" s="497">
        <f t="shared" si="20"/>
        <v>-0.23552581620503052</v>
      </c>
      <c r="AE136" s="497">
        <f t="shared" si="20"/>
        <v>-0.23301432764690538</v>
      </c>
      <c r="AF136" s="497">
        <f t="shared" si="20"/>
        <v>-0.23051289459982174</v>
      </c>
      <c r="AG136" s="497">
        <f t="shared" si="20"/>
        <v>-0.22802116005237888</v>
      </c>
      <c r="AH136" s="497">
        <f t="shared" si="20"/>
        <v>-0.2255387659172593</v>
      </c>
      <c r="AI136" s="497">
        <f t="shared" si="20"/>
        <v>-0.22306535344600309</v>
      </c>
      <c r="AJ136" s="497">
        <f t="shared" si="20"/>
        <v>-0.22060056362017885</v>
      </c>
      <c r="AK136" s="497">
        <f t="shared" si="20"/>
        <v>-0.2178302912505139</v>
      </c>
      <c r="AL136" s="497">
        <f t="shared" si="20"/>
        <v>-0.21628137196383157</v>
      </c>
      <c r="AM136" s="497">
        <f t="shared" si="20"/>
        <v>-0.21445882100082775</v>
      </c>
      <c r="AO136" s="88">
        <f>ROW()</f>
        <v>136</v>
      </c>
    </row>
    <row r="137" spans="1:41" s="32" customFormat="1" ht="15" customHeight="1">
      <c r="E137" s="492"/>
      <c r="F137" s="492"/>
      <c r="G137" s="493"/>
      <c r="H137" s="493"/>
      <c r="I137" s="494"/>
      <c r="K137"/>
      <c r="M137" s="136"/>
      <c r="N137" s="136"/>
      <c r="O137" s="136"/>
      <c r="P137" s="136"/>
      <c r="Q137" s="35"/>
      <c r="R137" s="35"/>
      <c r="S137" s="35"/>
      <c r="T137" s="35"/>
      <c r="U137" s="35"/>
      <c r="V137" s="35"/>
      <c r="W137" s="35"/>
      <c r="X137" s="35"/>
      <c r="Y137" s="35"/>
      <c r="Z137" s="35"/>
      <c r="AA137" s="35"/>
      <c r="AB137" s="35"/>
      <c r="AC137" s="35"/>
      <c r="AD137" s="35"/>
      <c r="AE137" s="35"/>
      <c r="AF137" s="35"/>
      <c r="AG137" s="35"/>
      <c r="AH137" s="35"/>
      <c r="AI137" s="35"/>
      <c r="AJ137" s="35"/>
      <c r="AK137" s="35"/>
      <c r="AL137" s="35"/>
      <c r="AM137" s="35"/>
      <c r="AO137" s="88">
        <f>ROW()</f>
        <v>137</v>
      </c>
    </row>
    <row r="138" spans="1:41" s="8" customFormat="1" ht="15" customHeight="1">
      <c r="A138" s="32"/>
      <c r="B138" s="8" t="s">
        <v>752</v>
      </c>
      <c r="H138" s="24"/>
      <c r="K138"/>
      <c r="M138" s="139"/>
      <c r="N138" s="139"/>
      <c r="O138" s="139"/>
      <c r="P138" s="139"/>
      <c r="Q138" s="25">
        <f t="shared" ref="Q138:AM138" si="21">SUM(Q139:Q144)</f>
        <v>-1126.3924286119457</v>
      </c>
      <c r="R138" s="25">
        <f t="shared" si="21"/>
        <v>-1121.9811983224201</v>
      </c>
      <c r="S138" s="25">
        <f t="shared" si="21"/>
        <v>-1117.6088202360088</v>
      </c>
      <c r="T138" s="25">
        <f t="shared" si="21"/>
        <v>-1113.276548547271</v>
      </c>
      <c r="U138" s="25">
        <f t="shared" si="21"/>
        <v>-1108.9855563529006</v>
      </c>
      <c r="V138" s="25">
        <f t="shared" si="21"/>
        <v>-1104.73693674383</v>
      </c>
      <c r="W138" s="25">
        <f t="shared" si="21"/>
        <v>-1100.5317040844543</v>
      </c>
      <c r="X138" s="25">
        <f t="shared" si="21"/>
        <v>-1096.3707954630852</v>
      </c>
      <c r="Y138" s="25">
        <f t="shared" si="21"/>
        <v>-1092.2550722978451</v>
      </c>
      <c r="Z138" s="25">
        <f t="shared" si="21"/>
        <v>-1088.1853220824382</v>
      </c>
      <c r="AA138" s="25">
        <f t="shared" si="21"/>
        <v>-1083.7395818890836</v>
      </c>
      <c r="AB138" s="25">
        <f t="shared" si="21"/>
        <v>-1071.8924637657562</v>
      </c>
      <c r="AC138" s="25">
        <f t="shared" si="21"/>
        <v>-1060.2134661975329</v>
      </c>
      <c r="AD138" s="25">
        <f t="shared" si="21"/>
        <v>-1048.7006833511618</v>
      </c>
      <c r="AE138" s="25">
        <f t="shared" si="21"/>
        <v>-1037.35219503294</v>
      </c>
      <c r="AF138" s="25">
        <f t="shared" si="21"/>
        <v>-1026.1660697764278</v>
      </c>
      <c r="AG138" s="25">
        <f t="shared" si="21"/>
        <v>-1015.1403678353331</v>
      </c>
      <c r="AH138" s="25">
        <f t="shared" si="21"/>
        <v>-1004.2731440718629</v>
      </c>
      <c r="AI138" s="25">
        <f t="shared" si="21"/>
        <v>-993.56245073208243</v>
      </c>
      <c r="AJ138" s="25">
        <f t="shared" si="21"/>
        <v>-983.00634010092722</v>
      </c>
      <c r="AK138" s="25">
        <f t="shared" si="21"/>
        <v>-972.79964736414286</v>
      </c>
      <c r="AL138" s="25">
        <f t="shared" si="21"/>
        <v>-957.76266437147342</v>
      </c>
      <c r="AM138" s="25">
        <f t="shared" si="21"/>
        <v>-943.16309113693853</v>
      </c>
      <c r="AN138" s="26"/>
      <c r="AO138" s="88">
        <f>ROW()</f>
        <v>138</v>
      </c>
    </row>
    <row r="139" spans="1:41" ht="15" customHeight="1">
      <c r="A139" s="8"/>
      <c r="B139" s="32" t="s">
        <v>4</v>
      </c>
      <c r="Q139" s="34">
        <f t="shared" ref="Q139:AM139" si="22">Q130-Q121</f>
        <v>-646.21227755125415</v>
      </c>
      <c r="R139" s="34">
        <f t="shared" si="22"/>
        <v>-643.80299576812604</v>
      </c>
      <c r="S139" s="34">
        <f t="shared" si="22"/>
        <v>-641.40851624474885</v>
      </c>
      <c r="T139" s="34">
        <f t="shared" si="22"/>
        <v>-639.02881201278797</v>
      </c>
      <c r="U139" s="34">
        <f t="shared" si="22"/>
        <v>-636.6638546996046</v>
      </c>
      <c r="V139" s="34">
        <f t="shared" si="22"/>
        <v>-634.31361455341971</v>
      </c>
      <c r="W139" s="34">
        <f t="shared" si="22"/>
        <v>-631.97806046847677</v>
      </c>
      <c r="X139" s="34">
        <f t="shared" si="22"/>
        <v>-629.65716001019518</v>
      </c>
      <c r="Y139" s="34">
        <f t="shared" si="22"/>
        <v>-627.35087944031125</v>
      </c>
      <c r="Z139" s="34">
        <f t="shared" si="22"/>
        <v>-625.05918374198609</v>
      </c>
      <c r="AA139" s="34">
        <f t="shared" si="22"/>
        <v>-622.78203664487955</v>
      </c>
      <c r="AB139" s="34">
        <f t="shared" si="22"/>
        <v>-614.09205894079946</v>
      </c>
      <c r="AC139" s="34">
        <f t="shared" si="22"/>
        <v>-605.55311328427638</v>
      </c>
      <c r="AD139" s="34">
        <f t="shared" si="22"/>
        <v>-597.16264872340639</v>
      </c>
      <c r="AE139" s="34">
        <f t="shared" si="22"/>
        <v>-588.91813753614042</v>
      </c>
      <c r="AF139" s="34">
        <f t="shared" si="22"/>
        <v>-580.81707597324589</v>
      </c>
      <c r="AG139" s="34">
        <f t="shared" si="22"/>
        <v>-572.85698495605084</v>
      </c>
      <c r="AH139" s="34">
        <f t="shared" si="22"/>
        <v>-565.03541072958319</v>
      </c>
      <c r="AI139" s="34">
        <f t="shared" si="22"/>
        <v>-557.34992547180286</v>
      </c>
      <c r="AJ139" s="34">
        <f t="shared" si="22"/>
        <v>-549.79812785966647</v>
      </c>
      <c r="AK139" s="34">
        <f t="shared" si="22"/>
        <v>-542.3776435928296</v>
      </c>
      <c r="AL139" s="34">
        <f t="shared" si="22"/>
        <v>-531.6931465698508</v>
      </c>
      <c r="AM139" s="34">
        <f t="shared" si="22"/>
        <v>-521.26926396439512</v>
      </c>
      <c r="AO139" s="88">
        <f>ROW()</f>
        <v>139</v>
      </c>
    </row>
    <row r="140" spans="1:41" s="32" customFormat="1" ht="15" customHeight="1">
      <c r="A140"/>
      <c r="B140" s="32" t="s">
        <v>222</v>
      </c>
      <c r="H140" s="33"/>
      <c r="M140" s="136"/>
      <c r="N140" s="136"/>
      <c r="O140" s="136"/>
      <c r="P140" s="136"/>
      <c r="Q140" s="34">
        <f t="shared" ref="Q140:AM140" si="23">Q131-Q122</f>
        <v>-150.39701053442354</v>
      </c>
      <c r="R140" s="34">
        <f t="shared" si="23"/>
        <v>-149.39265220027642</v>
      </c>
      <c r="S140" s="34">
        <f t="shared" si="23"/>
        <v>-148.40500421627462</v>
      </c>
      <c r="T140" s="34">
        <f t="shared" si="23"/>
        <v>-147.43416507254301</v>
      </c>
      <c r="U140" s="34">
        <f t="shared" si="23"/>
        <v>-146.48022296678914</v>
      </c>
      <c r="V140" s="34">
        <f t="shared" si="23"/>
        <v>-145.54325606825773</v>
      </c>
      <c r="W140" s="34">
        <f t="shared" si="23"/>
        <v>-144.62333278558026</v>
      </c>
      <c r="X140" s="34">
        <f t="shared" si="23"/>
        <v>-143.72051203784372</v>
      </c>
      <c r="Y140" s="34">
        <f t="shared" si="23"/>
        <v>-142.83484352821165</v>
      </c>
      <c r="Z140" s="34">
        <f t="shared" si="23"/>
        <v>-141.96636801945988</v>
      </c>
      <c r="AA140" s="34">
        <f t="shared" si="23"/>
        <v>-140.93885325814927</v>
      </c>
      <c r="AB140" s="34">
        <f t="shared" si="23"/>
        <v>-139.93088965043785</v>
      </c>
      <c r="AC140" s="34">
        <f t="shared" si="23"/>
        <v>-138.94242401281235</v>
      </c>
      <c r="AD140" s="34">
        <f t="shared" si="23"/>
        <v>-137.97339546044373</v>
      </c>
      <c r="AE140" s="34">
        <f t="shared" si="23"/>
        <v>-137.02373573063028</v>
      </c>
      <c r="AF140" s="34">
        <f t="shared" si="23"/>
        <v>-136.09336950270881</v>
      </c>
      <c r="AG140" s="34">
        <f t="shared" si="23"/>
        <v>-135.18221471402944</v>
      </c>
      <c r="AH140" s="34">
        <f t="shared" si="23"/>
        <v>-134.29018287160079</v>
      </c>
      <c r="AI140" s="34">
        <f t="shared" si="23"/>
        <v>-133.41717935906809</v>
      </c>
      <c r="AJ140" s="34">
        <f t="shared" si="23"/>
        <v>-132.5631037386936</v>
      </c>
      <c r="AK140" s="34">
        <f t="shared" si="23"/>
        <v>-131.81327124142695</v>
      </c>
      <c r="AL140" s="34">
        <f t="shared" si="23"/>
        <v>-131.08114552473262</v>
      </c>
      <c r="AM140" s="34">
        <f t="shared" si="23"/>
        <v>-130.44509855927322</v>
      </c>
      <c r="AN140" s="35"/>
      <c r="AO140" s="88">
        <f>ROW()</f>
        <v>140</v>
      </c>
    </row>
    <row r="141" spans="1:41" s="32" customFormat="1" ht="15" customHeight="1">
      <c r="B141" s="32" t="s">
        <v>164</v>
      </c>
      <c r="H141" s="33"/>
      <c r="M141" s="136"/>
      <c r="N141" s="136"/>
      <c r="O141" s="136"/>
      <c r="P141" s="136"/>
      <c r="Q141" s="34">
        <f t="shared" ref="Q141:AM141" si="24">Q132-Q123</f>
        <v>-71.817324262490615</v>
      </c>
      <c r="R141" s="34">
        <f t="shared" si="24"/>
        <v>-70.929826665835151</v>
      </c>
      <c r="S141" s="34">
        <f t="shared" si="24"/>
        <v>-70.048716155184195</v>
      </c>
      <c r="T141" s="34">
        <f t="shared" si="24"/>
        <v>-69.174490085685534</v>
      </c>
      <c r="U141" s="34">
        <f t="shared" si="24"/>
        <v>-68.307620288756539</v>
      </c>
      <c r="V141" s="34">
        <f t="shared" si="24"/>
        <v>-67.448553130851224</v>
      </c>
      <c r="W141" s="34">
        <f t="shared" si="24"/>
        <v>-66.597709639402183</v>
      </c>
      <c r="X141" s="34">
        <f t="shared" si="24"/>
        <v>-65.75548569223298</v>
      </c>
      <c r="Y141" s="34">
        <f t="shared" si="24"/>
        <v>-64.922252266631972</v>
      </c>
      <c r="Z141" s="34">
        <f t="shared" si="24"/>
        <v>-64.098355744207765</v>
      </c>
      <c r="AA141" s="34">
        <f t="shared" si="24"/>
        <v>-63.20507121487816</v>
      </c>
      <c r="AB141" s="34">
        <f t="shared" si="24"/>
        <v>-62.323850744702042</v>
      </c>
      <c r="AC141" s="34">
        <f t="shared" si="24"/>
        <v>-61.45492707649214</v>
      </c>
      <c r="AD141" s="34">
        <f t="shared" si="24"/>
        <v>-60.598508901120965</v>
      </c>
      <c r="AE141" s="34">
        <f t="shared" si="24"/>
        <v>-59.754781525413023</v>
      </c>
      <c r="AF141" s="34">
        <f t="shared" si="24"/>
        <v>-58.923907567713968</v>
      </c>
      <c r="AG141" s="34">
        <f t="shared" si="24"/>
        <v>-58.106027677185011</v>
      </c>
      <c r="AH141" s="34">
        <f t="shared" si="24"/>
        <v>-57.301261273008492</v>
      </c>
      <c r="AI141" s="34">
        <f t="shared" si="24"/>
        <v>-56.509707299835611</v>
      </c>
      <c r="AJ141" s="34">
        <f t="shared" si="24"/>
        <v>-55.731444995969412</v>
      </c>
      <c r="AK141" s="34">
        <f t="shared" si="24"/>
        <v>-55.00217866714496</v>
      </c>
      <c r="AL141" s="34">
        <f t="shared" si="24"/>
        <v>-54.285354612440869</v>
      </c>
      <c r="AM141" s="34">
        <f t="shared" si="24"/>
        <v>-53.61326717348976</v>
      </c>
      <c r="AN141" s="35"/>
      <c r="AO141" s="88">
        <f>ROW()</f>
        <v>141</v>
      </c>
    </row>
    <row r="142" spans="1:41" s="32" customFormat="1" ht="15" customHeight="1">
      <c r="B142" s="32" t="s">
        <v>18</v>
      </c>
      <c r="H142" s="33"/>
      <c r="M142" s="136"/>
      <c r="N142" s="136"/>
      <c r="O142" s="136"/>
      <c r="P142" s="136"/>
      <c r="Q142" s="34">
        <f t="shared" ref="Q142:AM142" si="25">Q133-Q124</f>
        <v>-29.516737839282484</v>
      </c>
      <c r="R142" s="34">
        <f t="shared" si="25"/>
        <v>-28.811015925545348</v>
      </c>
      <c r="S142" s="34">
        <f t="shared" si="25"/>
        <v>-28.115689659048854</v>
      </c>
      <c r="T142" s="34">
        <f t="shared" si="25"/>
        <v>-27.431090578565914</v>
      </c>
      <c r="U142" s="34">
        <f t="shared" si="25"/>
        <v>-26.757516656547836</v>
      </c>
      <c r="V142" s="34">
        <f t="shared" si="25"/>
        <v>-26.095233196531382</v>
      </c>
      <c r="W142" s="34">
        <f t="shared" si="25"/>
        <v>-25.444473802117756</v>
      </c>
      <c r="X142" s="34">
        <f t="shared" si="25"/>
        <v>-24.80544140817463</v>
      </c>
      <c r="Y142" s="34">
        <f t="shared" si="25"/>
        <v>-24.178309365145765</v>
      </c>
      <c r="Z142" s="34">
        <f t="shared" si="25"/>
        <v>-23.563222567647358</v>
      </c>
      <c r="AA142" s="34">
        <f t="shared" si="25"/>
        <v>-22.917293111797051</v>
      </c>
      <c r="AB142" s="34">
        <f t="shared" si="25"/>
        <v>-22.285909180227833</v>
      </c>
      <c r="AC142" s="34">
        <f t="shared" si="25"/>
        <v>-21.669061926564922</v>
      </c>
      <c r="AD142" s="34">
        <f t="shared" si="25"/>
        <v>-21.066718795849397</v>
      </c>
      <c r="AE142" s="34">
        <f t="shared" si="25"/>
        <v>-20.47882496552873</v>
      </c>
      <c r="AF142" s="34">
        <f t="shared" si="25"/>
        <v>-19.905304771293515</v>
      </c>
      <c r="AG142" s="34">
        <f t="shared" si="25"/>
        <v>-19.346063112154354</v>
      </c>
      <c r="AH142" s="34">
        <f t="shared" si="25"/>
        <v>-18.800986829723712</v>
      </c>
      <c r="AI142" s="34">
        <f t="shared" si="25"/>
        <v>-18.269946057230413</v>
      </c>
      <c r="AJ142" s="34">
        <f t="shared" si="25"/>
        <v>-17.752795534337508</v>
      </c>
      <c r="AK142" s="34">
        <f t="shared" si="25"/>
        <v>-17.266157086511129</v>
      </c>
      <c r="AL142" s="34">
        <f t="shared" si="25"/>
        <v>-16.792139986457784</v>
      </c>
      <c r="AM142" s="34">
        <f t="shared" si="25"/>
        <v>-16.345341511440125</v>
      </c>
      <c r="AN142" s="35"/>
      <c r="AO142" s="88">
        <f>ROW()</f>
        <v>142</v>
      </c>
    </row>
    <row r="143" spans="1:41" s="32" customFormat="1" ht="15" customHeight="1">
      <c r="B143" s="32" t="s">
        <v>740</v>
      </c>
      <c r="H143" s="33"/>
      <c r="M143" s="136"/>
      <c r="N143" s="136"/>
      <c r="O143" s="136"/>
      <c r="P143" s="136"/>
      <c r="Q143" s="34">
        <f t="shared" ref="Q143:AM143" si="26">Q134-Q125</f>
        <v>-94.60722040029134</v>
      </c>
      <c r="R143" s="34">
        <f t="shared" si="26"/>
        <v>-94.027251025225951</v>
      </c>
      <c r="S143" s="34">
        <f t="shared" si="26"/>
        <v>-93.439172648626595</v>
      </c>
      <c r="T143" s="34">
        <f t="shared" si="26"/>
        <v>-92.843540532672478</v>
      </c>
      <c r="U143" s="34">
        <f t="shared" si="26"/>
        <v>-92.240898228965989</v>
      </c>
      <c r="V143" s="34">
        <f t="shared" si="26"/>
        <v>-91.631777245660487</v>
      </c>
      <c r="W143" s="34">
        <f t="shared" si="26"/>
        <v>-91.016696759162642</v>
      </c>
      <c r="X143" s="34">
        <f t="shared" si="26"/>
        <v>-90.396163368491443</v>
      </c>
      <c r="Y143" s="34">
        <f t="shared" si="26"/>
        <v>-89.770670890352221</v>
      </c>
      <c r="Z143" s="34">
        <f t="shared" si="26"/>
        <v>-89.140700192960367</v>
      </c>
      <c r="AA143" s="34">
        <f t="shared" si="26"/>
        <v>-88.382357611628436</v>
      </c>
      <c r="AB143" s="34">
        <f t="shared" si="26"/>
        <v>-87.622424317589093</v>
      </c>
      <c r="AC143" s="34">
        <f t="shared" si="26"/>
        <v>-86.861350786223625</v>
      </c>
      <c r="AD143" s="34">
        <f t="shared" si="26"/>
        <v>-86.099571797293038</v>
      </c>
      <c r="AE143" s="34">
        <f t="shared" si="26"/>
        <v>-85.337506534546264</v>
      </c>
      <c r="AF143" s="34">
        <f t="shared" si="26"/>
        <v>-84.575558711819667</v>
      </c>
      <c r="AG143" s="34">
        <f t="shared" si="26"/>
        <v>-83.814116723552388</v>
      </c>
      <c r="AH143" s="34">
        <f t="shared" si="26"/>
        <v>-83.053553817693228</v>
      </c>
      <c r="AI143" s="34">
        <f t="shared" si="26"/>
        <v>-82.294228289062858</v>
      </c>
      <c r="AJ143" s="34">
        <f t="shared" si="26"/>
        <v>-81.536483691294848</v>
      </c>
      <c r="AK143" s="34">
        <f t="shared" si="26"/>
        <v>-80.839583007308761</v>
      </c>
      <c r="AL143" s="34">
        <f t="shared" si="26"/>
        <v>-80.14385006232942</v>
      </c>
      <c r="AM143" s="34">
        <f t="shared" si="26"/>
        <v>-79.503380167983437</v>
      </c>
      <c r="AN143" s="35"/>
      <c r="AO143" s="88">
        <f>ROW()</f>
        <v>143</v>
      </c>
    </row>
    <row r="144" spans="1:41" s="32" customFormat="1" ht="15" customHeight="1">
      <c r="B144" s="32" t="s">
        <v>739</v>
      </c>
      <c r="H144" s="33"/>
      <c r="M144" s="136"/>
      <c r="N144" s="136"/>
      <c r="O144" s="136"/>
      <c r="P144" s="136"/>
      <c r="Q144" s="34">
        <f t="shared" ref="Q144:AM144" si="27">Q135-Q126</f>
        <v>-133.84185802420359</v>
      </c>
      <c r="R144" s="34">
        <f t="shared" si="27"/>
        <v>-135.01745673741124</v>
      </c>
      <c r="S144" s="34">
        <f t="shared" si="27"/>
        <v>-136.19172131212588</v>
      </c>
      <c r="T144" s="34">
        <f t="shared" si="27"/>
        <v>-137.36445026501599</v>
      </c>
      <c r="U144" s="34">
        <f t="shared" si="27"/>
        <v>-138.53544351223655</v>
      </c>
      <c r="V144" s="34">
        <f t="shared" si="27"/>
        <v>-139.70450254910941</v>
      </c>
      <c r="W144" s="34">
        <f t="shared" si="27"/>
        <v>-140.87143062971467</v>
      </c>
      <c r="X144" s="34">
        <f t="shared" si="27"/>
        <v>-142.03603294614732</v>
      </c>
      <c r="Y144" s="34">
        <f t="shared" si="27"/>
        <v>-143.19811680719226</v>
      </c>
      <c r="Z144" s="34">
        <f t="shared" si="27"/>
        <v>-144.35749181617689</v>
      </c>
      <c r="AA144" s="34">
        <f t="shared" si="27"/>
        <v>-145.51397004775095</v>
      </c>
      <c r="AB144" s="34">
        <f t="shared" si="27"/>
        <v>-145.63733093200005</v>
      </c>
      <c r="AC144" s="34">
        <f t="shared" si="27"/>
        <v>-145.73258911116352</v>
      </c>
      <c r="AD144" s="34">
        <f t="shared" si="27"/>
        <v>-145.79983967304838</v>
      </c>
      <c r="AE144" s="34">
        <f t="shared" si="27"/>
        <v>-145.83920874068133</v>
      </c>
      <c r="AF144" s="34">
        <f t="shared" si="27"/>
        <v>-145.85085324964609</v>
      </c>
      <c r="AG144" s="34">
        <f t="shared" si="27"/>
        <v>-145.83496065236113</v>
      </c>
      <c r="AH144" s="34">
        <f t="shared" si="27"/>
        <v>-145.79174855025349</v>
      </c>
      <c r="AI144" s="34">
        <f t="shared" si="27"/>
        <v>-145.72146425508265</v>
      </c>
      <c r="AJ144" s="34">
        <f t="shared" si="27"/>
        <v>-145.62438428096527</v>
      </c>
      <c r="AK144" s="34">
        <f t="shared" si="27"/>
        <v>-145.50081376892138</v>
      </c>
      <c r="AL144" s="34">
        <f t="shared" si="27"/>
        <v>-143.76702761566196</v>
      </c>
      <c r="AM144" s="34">
        <f t="shared" si="27"/>
        <v>-141.98673976035695</v>
      </c>
      <c r="AN144" s="35"/>
      <c r="AO144" s="88">
        <f>ROW()</f>
        <v>144</v>
      </c>
    </row>
    <row r="145" spans="2:41" s="32" customFormat="1" ht="15" customHeight="1">
      <c r="H145" s="33"/>
      <c r="M145" s="136"/>
      <c r="N145" s="136"/>
      <c r="O145" s="136"/>
      <c r="P145" s="136"/>
      <c r="Q145" s="34"/>
      <c r="R145" s="34"/>
      <c r="S145" s="34"/>
      <c r="T145" s="34"/>
      <c r="U145" s="34"/>
      <c r="V145" s="34"/>
      <c r="W145" s="34"/>
      <c r="X145" s="34"/>
      <c r="Y145" s="34"/>
      <c r="Z145" s="34"/>
      <c r="AA145" s="34"/>
      <c r="AB145" s="34"/>
      <c r="AC145" s="34"/>
      <c r="AD145" s="34"/>
      <c r="AE145" s="34"/>
      <c r="AF145" s="34"/>
      <c r="AG145" s="34"/>
      <c r="AH145" s="34"/>
      <c r="AI145" s="34"/>
      <c r="AJ145" s="34"/>
      <c r="AK145" s="34"/>
      <c r="AL145" s="34"/>
      <c r="AM145" s="34"/>
      <c r="AN145" s="35"/>
      <c r="AO145" s="88">
        <f>ROW()</f>
        <v>145</v>
      </c>
    </row>
    <row r="146" spans="2:41" s="32" customFormat="1" ht="15" customHeight="1">
      <c r="B146" s="1" t="s">
        <v>769</v>
      </c>
      <c r="H146" s="33"/>
      <c r="M146" s="136"/>
      <c r="N146" s="136"/>
      <c r="O146" s="136"/>
      <c r="P146" s="525" t="s">
        <v>748</v>
      </c>
      <c r="Q146">
        <f>Q$94</f>
        <v>1</v>
      </c>
      <c r="R146">
        <f t="shared" ref="R146:AM146" si="28">R$94</f>
        <v>2</v>
      </c>
      <c r="S146">
        <f t="shared" si="28"/>
        <v>3</v>
      </c>
      <c r="T146">
        <f t="shared" si="28"/>
        <v>4</v>
      </c>
      <c r="U146">
        <f t="shared" si="28"/>
        <v>5</v>
      </c>
      <c r="V146">
        <f t="shared" si="28"/>
        <v>6</v>
      </c>
      <c r="W146">
        <f t="shared" si="28"/>
        <v>7</v>
      </c>
      <c r="X146">
        <f t="shared" si="28"/>
        <v>8</v>
      </c>
      <c r="Y146">
        <f t="shared" si="28"/>
        <v>9</v>
      </c>
      <c r="Z146">
        <f t="shared" si="28"/>
        <v>10</v>
      </c>
      <c r="AA146">
        <f t="shared" si="28"/>
        <v>11</v>
      </c>
      <c r="AB146">
        <f t="shared" si="28"/>
        <v>12</v>
      </c>
      <c r="AC146">
        <f t="shared" si="28"/>
        <v>13</v>
      </c>
      <c r="AD146">
        <f t="shared" si="28"/>
        <v>14</v>
      </c>
      <c r="AE146">
        <f t="shared" si="28"/>
        <v>15</v>
      </c>
      <c r="AF146">
        <f t="shared" si="28"/>
        <v>16</v>
      </c>
      <c r="AG146">
        <f t="shared" si="28"/>
        <v>17</v>
      </c>
      <c r="AH146">
        <f t="shared" si="28"/>
        <v>18</v>
      </c>
      <c r="AI146">
        <f t="shared" si="28"/>
        <v>19</v>
      </c>
      <c r="AJ146">
        <f t="shared" si="28"/>
        <v>20</v>
      </c>
      <c r="AK146">
        <f t="shared" si="28"/>
        <v>21</v>
      </c>
      <c r="AL146">
        <f t="shared" si="28"/>
        <v>22</v>
      </c>
      <c r="AM146">
        <f t="shared" si="28"/>
        <v>23</v>
      </c>
      <c r="AN146" s="35"/>
      <c r="AO146" s="88">
        <f>ROW()</f>
        <v>146</v>
      </c>
    </row>
    <row r="147" spans="2:41" s="32" customFormat="1" ht="15" customHeight="1">
      <c r="H147" s="33"/>
      <c r="M147" s="136"/>
      <c r="N147" s="136"/>
      <c r="O147" s="136"/>
      <c r="P147" s="136"/>
      <c r="Q147" s="34"/>
      <c r="R147" s="34"/>
      <c r="S147" s="34"/>
      <c r="T147" s="34"/>
      <c r="U147" s="34"/>
      <c r="V147" s="34"/>
      <c r="W147" s="34"/>
      <c r="X147" s="34"/>
      <c r="Y147" s="34"/>
      <c r="Z147" s="34"/>
      <c r="AA147" s="34"/>
      <c r="AB147" s="34"/>
      <c r="AC147" s="34"/>
      <c r="AD147" s="34"/>
      <c r="AE147" s="34"/>
      <c r="AF147" s="34"/>
      <c r="AG147" s="34"/>
      <c r="AH147" s="34"/>
      <c r="AI147" s="34"/>
      <c r="AJ147" s="34"/>
      <c r="AK147" s="34"/>
      <c r="AL147" s="34"/>
      <c r="AM147" s="34"/>
      <c r="AN147" s="35"/>
      <c r="AO147" s="88">
        <f>ROW()</f>
        <v>147</v>
      </c>
    </row>
    <row r="148" spans="2:41" s="32" customFormat="1" ht="15" customHeight="1">
      <c r="C148" s="126"/>
      <c r="D148" s="123"/>
      <c r="E148" s="123"/>
      <c r="F148" s="536" t="s">
        <v>637</v>
      </c>
      <c r="G148" s="537" t="s">
        <v>458</v>
      </c>
      <c r="H148"/>
      <c r="I148" s="13">
        <f t="shared" ref="I148:AM148" si="29">I$116</f>
        <v>2005</v>
      </c>
      <c r="J148" s="13">
        <f t="shared" si="29"/>
        <v>2006</v>
      </c>
      <c r="K148" s="13">
        <f t="shared" si="29"/>
        <v>2007</v>
      </c>
      <c r="L148" s="13">
        <f t="shared" si="29"/>
        <v>2008</v>
      </c>
      <c r="M148" s="13">
        <f t="shared" si="29"/>
        <v>2009</v>
      </c>
      <c r="N148" s="13">
        <f t="shared" si="29"/>
        <v>2010</v>
      </c>
      <c r="O148" s="13">
        <f t="shared" si="29"/>
        <v>2011</v>
      </c>
      <c r="P148" s="13">
        <f t="shared" si="29"/>
        <v>2012</v>
      </c>
      <c r="Q148" s="13">
        <f t="shared" si="29"/>
        <v>2015</v>
      </c>
      <c r="R148" s="13">
        <f t="shared" si="29"/>
        <v>2016</v>
      </c>
      <c r="S148" s="13">
        <f t="shared" si="29"/>
        <v>2017</v>
      </c>
      <c r="T148" s="13">
        <f t="shared" si="29"/>
        <v>2018</v>
      </c>
      <c r="U148" s="13">
        <f t="shared" si="29"/>
        <v>2019</v>
      </c>
      <c r="V148" s="13">
        <f t="shared" si="29"/>
        <v>2020</v>
      </c>
      <c r="W148" s="13">
        <f t="shared" si="29"/>
        <v>2021</v>
      </c>
      <c r="X148" s="13">
        <f t="shared" si="29"/>
        <v>2022</v>
      </c>
      <c r="Y148" s="13">
        <f t="shared" si="29"/>
        <v>2023</v>
      </c>
      <c r="Z148" s="13">
        <f t="shared" si="29"/>
        <v>2024</v>
      </c>
      <c r="AA148" s="13">
        <f t="shared" si="29"/>
        <v>2025</v>
      </c>
      <c r="AB148" s="13">
        <f t="shared" si="29"/>
        <v>2026</v>
      </c>
      <c r="AC148" s="13">
        <f t="shared" si="29"/>
        <v>2027</v>
      </c>
      <c r="AD148" s="13">
        <f t="shared" si="29"/>
        <v>2028</v>
      </c>
      <c r="AE148" s="13">
        <f t="shared" si="29"/>
        <v>2029</v>
      </c>
      <c r="AF148" s="13">
        <f t="shared" si="29"/>
        <v>2030</v>
      </c>
      <c r="AG148" s="13">
        <f t="shared" si="29"/>
        <v>2031</v>
      </c>
      <c r="AH148" s="13">
        <f t="shared" si="29"/>
        <v>2032</v>
      </c>
      <c r="AI148" s="13">
        <f t="shared" si="29"/>
        <v>2033</v>
      </c>
      <c r="AJ148" s="13">
        <f t="shared" si="29"/>
        <v>2034</v>
      </c>
      <c r="AK148" s="13">
        <f t="shared" si="29"/>
        <v>2035</v>
      </c>
      <c r="AL148" s="13">
        <f t="shared" si="29"/>
        <v>2036</v>
      </c>
      <c r="AM148" s="13">
        <f t="shared" si="29"/>
        <v>2037</v>
      </c>
      <c r="AO148" s="88">
        <f>ROW()</f>
        <v>148</v>
      </c>
    </row>
    <row r="149" spans="2:41" s="32" customFormat="1" ht="15" customHeight="1">
      <c r="H149" s="3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O149" s="88">
        <f>ROW()</f>
        <v>149</v>
      </c>
    </row>
    <row r="150" spans="2:41" s="32" customFormat="1" ht="15" customHeight="1">
      <c r="B150" s="8" t="s">
        <v>324</v>
      </c>
      <c r="H150" s="33"/>
      <c r="M150" s="136"/>
      <c r="N150" s="136"/>
      <c r="O150" s="136"/>
      <c r="P150" s="31">
        <f t="shared" ref="P150:AM150" si="30">P138/P120</f>
        <v>0</v>
      </c>
      <c r="Q150" s="31">
        <f t="shared" si="30"/>
        <v>-0.21179214024739951</v>
      </c>
      <c r="R150" s="31">
        <f t="shared" si="30"/>
        <v>-0.21003771177645128</v>
      </c>
      <c r="S150" s="31">
        <f t="shared" si="30"/>
        <v>-0.20830168113625247</v>
      </c>
      <c r="T150" s="31">
        <f t="shared" si="30"/>
        <v>-0.20658404276864853</v>
      </c>
      <c r="U150" s="31">
        <f t="shared" si="30"/>
        <v>-0.20488477704191799</v>
      </c>
      <c r="V150" s="31">
        <f t="shared" si="30"/>
        <v>-0.20320385073225186</v>
      </c>
      <c r="W150" s="31">
        <f t="shared" si="30"/>
        <v>-0.20154121752526971</v>
      </c>
      <c r="X150" s="31">
        <f t="shared" si="30"/>
        <v>-0.19989681853444521</v>
      </c>
      <c r="Y150" s="31">
        <f t="shared" si="30"/>
        <v>-0.19827058283340879</v>
      </c>
      <c r="Z150" s="31">
        <f t="shared" si="30"/>
        <v>-0.1966624279992065</v>
      </c>
      <c r="AA150" s="31">
        <f t="shared" si="30"/>
        <v>-0.1951302043192529</v>
      </c>
      <c r="AB150" s="31">
        <f t="shared" si="30"/>
        <v>-0.19288677226922893</v>
      </c>
      <c r="AC150" s="31">
        <f t="shared" si="30"/>
        <v>-0.1906726257254335</v>
      </c>
      <c r="AD150" s="31">
        <f t="shared" si="30"/>
        <v>-0.1884874870218996</v>
      </c>
      <c r="AE150" s="31">
        <f t="shared" si="30"/>
        <v>-0.18633107362896109</v>
      </c>
      <c r="AF150" s="31">
        <f t="shared" si="30"/>
        <v>-0.18420309875798135</v>
      </c>
      <c r="AG150" s="31">
        <f t="shared" si="30"/>
        <v>-0.18210327194765091</v>
      </c>
      <c r="AH150" s="31">
        <f t="shared" si="30"/>
        <v>-0.18003129963018613</v>
      </c>
      <c r="AI150" s="31">
        <f t="shared" si="30"/>
        <v>-0.17798688567597701</v>
      </c>
      <c r="AJ150" s="31">
        <f t="shared" si="30"/>
        <v>-0.17596973191542534</v>
      </c>
      <c r="AK150" s="31">
        <f t="shared" si="30"/>
        <v>-0.17395095636407423</v>
      </c>
      <c r="AL150" s="31">
        <f t="shared" si="30"/>
        <v>-0.17144265441154877</v>
      </c>
      <c r="AM150" s="31">
        <f t="shared" si="30"/>
        <v>-0.16894527189235975</v>
      </c>
      <c r="AN150" s="35"/>
      <c r="AO150" s="88">
        <f>ROW()</f>
        <v>150</v>
      </c>
    </row>
    <row r="151" spans="2:41" s="32" customFormat="1" ht="15" customHeight="1">
      <c r="B151" s="32" t="s">
        <v>4</v>
      </c>
      <c r="H151" s="33"/>
      <c r="M151" s="136"/>
      <c r="N151" s="136"/>
      <c r="O151" s="136"/>
      <c r="P151" s="136"/>
      <c r="Q151" s="433">
        <f t="shared" ref="Q151:AM151" si="31">Q139/Q121</f>
        <v>-0.31605514764065529</v>
      </c>
      <c r="R151" s="433">
        <f t="shared" si="31"/>
        <v>-0.31480404725309891</v>
      </c>
      <c r="S151" s="433">
        <f t="shared" si="31"/>
        <v>-0.31356074436687231</v>
      </c>
      <c r="T151" s="433">
        <f t="shared" si="31"/>
        <v>-0.31232522059314582</v>
      </c>
      <c r="U151" s="433">
        <f t="shared" si="31"/>
        <v>-0.31109745687145268</v>
      </c>
      <c r="V151" s="433">
        <f t="shared" si="31"/>
        <v>-0.30987743348276647</v>
      </c>
      <c r="W151" s="433">
        <f t="shared" si="31"/>
        <v>-0.30866513006256113</v>
      </c>
      <c r="X151" s="433">
        <f t="shared" si="31"/>
        <v>-0.30746052561384851</v>
      </c>
      <c r="Y151" s="433">
        <f t="shared" si="31"/>
        <v>-0.30626359852019219</v>
      </c>
      <c r="Z151" s="433">
        <f t="shared" si="31"/>
        <v>-0.30507432655868844</v>
      </c>
      <c r="AA151" s="433">
        <f t="shared" si="31"/>
        <v>-0.30389268691291149</v>
      </c>
      <c r="AB151" s="433">
        <f t="shared" si="31"/>
        <v>-0.30177400976108865</v>
      </c>
      <c r="AC151" s="433">
        <f t="shared" si="31"/>
        <v>-0.29968483986351924</v>
      </c>
      <c r="AD151" s="433">
        <f t="shared" si="31"/>
        <v>-0.29762495912746895</v>
      </c>
      <c r="AE151" s="433">
        <f t="shared" si="31"/>
        <v>-0.29559414229528652</v>
      </c>
      <c r="AF151" s="433">
        <f t="shared" si="31"/>
        <v>-0.29359215731241284</v>
      </c>
      <c r="AG151" s="433">
        <f t="shared" si="31"/>
        <v>-0.29161876569046807</v>
      </c>
      <c r="AH151" s="433">
        <f t="shared" si="31"/>
        <v>-0.28967372286504361</v>
      </c>
      <c r="AI151" s="433">
        <f t="shared" si="31"/>
        <v>-0.2877567785478618</v>
      </c>
      <c r="AJ151" s="433">
        <f t="shared" si="31"/>
        <v>-0.28586767707298694</v>
      </c>
      <c r="AK151" s="433">
        <f t="shared" si="31"/>
        <v>-0.28400615773680082</v>
      </c>
      <c r="AL151" s="433">
        <f t="shared" si="31"/>
        <v>-0.28167775980504883</v>
      </c>
      <c r="AM151" s="433">
        <f t="shared" si="31"/>
        <v>-0.27939532374880349</v>
      </c>
      <c r="AN151" s="35"/>
      <c r="AO151" s="88">
        <f>ROW()</f>
        <v>151</v>
      </c>
    </row>
    <row r="152" spans="2:41" s="32" customFormat="1" ht="15" customHeight="1">
      <c r="B152" s="32" t="s">
        <v>222</v>
      </c>
      <c r="H152" s="33"/>
      <c r="M152" s="136"/>
      <c r="N152" s="136"/>
      <c r="O152" s="136"/>
      <c r="P152" s="136"/>
      <c r="Q152" s="433">
        <f t="shared" ref="Q152:AM152" si="32">Q140/Q122</f>
        <v>-0.1242986132563511</v>
      </c>
      <c r="R152" s="433">
        <f t="shared" si="32"/>
        <v>-0.12258396098819439</v>
      </c>
      <c r="S152" s="433">
        <f t="shared" si="32"/>
        <v>-0.12090111100388976</v>
      </c>
      <c r="T152" s="433">
        <f t="shared" si="32"/>
        <v>-0.11924967775476697</v>
      </c>
      <c r="U152" s="433">
        <f t="shared" si="32"/>
        <v>-0.11762927087633211</v>
      </c>
      <c r="V152" s="433">
        <f t="shared" si="32"/>
        <v>-0.11603949567241637</v>
      </c>
      <c r="W152" s="433">
        <f t="shared" si="32"/>
        <v>-0.1144799535870604</v>
      </c>
      <c r="X152" s="433">
        <f t="shared" si="32"/>
        <v>-0.11295024266378256</v>
      </c>
      <c r="Y152" s="433">
        <f t="shared" si="32"/>
        <v>-0.11144995799191543</v>
      </c>
      <c r="Z152" s="433">
        <f t="shared" si="32"/>
        <v>-0.10997869213974552</v>
      </c>
      <c r="AA152" s="433">
        <f t="shared" si="32"/>
        <v>-0.10853603557425112</v>
      </c>
      <c r="AB152" s="433">
        <f t="shared" si="32"/>
        <v>-0.10712157706725535</v>
      </c>
      <c r="AC152" s="433">
        <f t="shared" si="32"/>
        <v>-0.10573490408787019</v>
      </c>
      <c r="AD152" s="433">
        <f t="shared" si="32"/>
        <v>-0.10437560318114286</v>
      </c>
      <c r="AE152" s="433">
        <f t="shared" si="32"/>
        <v>-0.10304326033285366</v>
      </c>
      <c r="AF152" s="433">
        <f t="shared" si="32"/>
        <v>-0.10173746132044831</v>
      </c>
      <c r="AG152" s="433">
        <f t="shared" si="32"/>
        <v>-0.10045779205013058</v>
      </c>
      <c r="AH152" s="433">
        <f t="shared" si="32"/>
        <v>-9.9203838880158532E-2</v>
      </c>
      <c r="AI152" s="433">
        <f t="shared" si="32"/>
        <v>-9.7975188930434956E-2</v>
      </c>
      <c r="AJ152" s="433">
        <f t="shared" si="32"/>
        <v>-9.6771430378494797E-2</v>
      </c>
      <c r="AK152" s="433">
        <f t="shared" si="32"/>
        <v>-9.5592152742031034E-2</v>
      </c>
      <c r="AL152" s="433">
        <f t="shared" si="32"/>
        <v>-9.4436947148110281E-2</v>
      </c>
      <c r="AM152" s="433">
        <f t="shared" si="32"/>
        <v>-9.3305406589272319E-2</v>
      </c>
      <c r="AN152" s="35"/>
      <c r="AO152" s="88">
        <f>ROW()</f>
        <v>152</v>
      </c>
    </row>
    <row r="153" spans="2:41" s="32" customFormat="1" ht="15" customHeight="1">
      <c r="B153" s="32" t="s">
        <v>164</v>
      </c>
      <c r="H153" s="33"/>
      <c r="M153" s="136"/>
      <c r="N153" s="136"/>
      <c r="O153" s="136"/>
      <c r="P153" s="136"/>
      <c r="Q153" s="433">
        <f t="shared" ref="Q153:AM153" si="33">Q141/Q123</f>
        <v>-0.15187510786326056</v>
      </c>
      <c r="R153" s="433">
        <f t="shared" si="33"/>
        <v>-0.14944093493806423</v>
      </c>
      <c r="S153" s="433">
        <f t="shared" si="33"/>
        <v>-0.14704398020463086</v>
      </c>
      <c r="T153" s="433">
        <f t="shared" si="33"/>
        <v>-0.144684496261553</v>
      </c>
      <c r="U153" s="433">
        <f t="shared" si="33"/>
        <v>-0.14236269326467335</v>
      </c>
      <c r="V153" s="433">
        <f t="shared" si="33"/>
        <v>-0.14007873982605737</v>
      </c>
      <c r="W153" s="433">
        <f t="shared" si="33"/>
        <v>-0.13783276398534974</v>
      </c>
      <c r="X153" s="433">
        <f t="shared" si="33"/>
        <v>-0.13562485424724463</v>
      </c>
      <c r="Y153" s="433">
        <f t="shared" si="33"/>
        <v>-0.13345506067877308</v>
      </c>
      <c r="Z153" s="433">
        <f t="shared" si="33"/>
        <v>-0.13132339606013405</v>
      </c>
      <c r="AA153" s="433">
        <f t="shared" si="33"/>
        <v>-0.12922983708285127</v>
      </c>
      <c r="AB153" s="433">
        <f t="shared" si="33"/>
        <v>-0.12717432558911754</v>
      </c>
      <c r="AC153" s="433">
        <f t="shared" si="33"/>
        <v>-0.12515676984632076</v>
      </c>
      <c r="AD153" s="433">
        <f t="shared" si="33"/>
        <v>-0.12317704585087738</v>
      </c>
      <c r="AE153" s="433">
        <f t="shared" si="33"/>
        <v>-0.12123499865567942</v>
      </c>
      <c r="AF153" s="433">
        <f t="shared" si="33"/>
        <v>-0.11933044371565443</v>
      </c>
      <c r="AG153" s="433">
        <f t="shared" si="33"/>
        <v>-0.11746316824614929</v>
      </c>
      <c r="AH153" s="433">
        <f t="shared" si="33"/>
        <v>-0.11563293258908353</v>
      </c>
      <c r="AI153" s="433">
        <f t="shared" si="33"/>
        <v>-0.1138394715820561</v>
      </c>
      <c r="AJ153" s="433">
        <f t="shared" si="33"/>
        <v>-0.11208249592585315</v>
      </c>
      <c r="AK153" s="433">
        <f t="shared" si="33"/>
        <v>-0.11036169354606636</v>
      </c>
      <c r="AL153" s="433">
        <f t="shared" si="33"/>
        <v>-0.1086767309448041</v>
      </c>
      <c r="AM153" s="433">
        <f t="shared" si="33"/>
        <v>-0.10702725453874826</v>
      </c>
      <c r="AN153" s="35"/>
      <c r="AO153" s="88">
        <f>ROW()</f>
        <v>153</v>
      </c>
    </row>
    <row r="154" spans="2:41" s="32" customFormat="1" ht="15" customHeight="1">
      <c r="B154" s="32" t="s">
        <v>18</v>
      </c>
      <c r="H154" s="33"/>
      <c r="M154" s="136"/>
      <c r="N154" s="136"/>
      <c r="O154" s="136"/>
      <c r="P154" s="136"/>
      <c r="Q154" s="433">
        <f t="shared" ref="Q154:AM154" si="34">Q142/Q124</f>
        <v>-0.14268105570414391</v>
      </c>
      <c r="R154" s="433">
        <f t="shared" si="34"/>
        <v>-0.13867753125444238</v>
      </c>
      <c r="S154" s="433">
        <f t="shared" si="34"/>
        <v>-0.13476225440864811</v>
      </c>
      <c r="T154" s="433">
        <f t="shared" si="34"/>
        <v>-0.1309351603602347</v>
      </c>
      <c r="U154" s="433">
        <f t="shared" si="34"/>
        <v>-0.12719606237884473</v>
      </c>
      <c r="V154" s="433">
        <f t="shared" si="34"/>
        <v>-0.12354465728910548</v>
      </c>
      <c r="W154" s="433">
        <f t="shared" si="34"/>
        <v>-0.11998053110411981</v>
      </c>
      <c r="X154" s="433">
        <f t="shared" si="34"/>
        <v>-0.11650316477656886</v>
      </c>
      <c r="Y154" s="433">
        <f t="shared" si="34"/>
        <v>-0.11311194003192533</v>
      </c>
      <c r="Z154" s="433">
        <f t="shared" si="34"/>
        <v>-0.10980614525004741</v>
      </c>
      <c r="AA154" s="433">
        <f t="shared" si="34"/>
        <v>-0.10658498136334187</v>
      </c>
      <c r="AB154" s="433">
        <f t="shared" si="34"/>
        <v>-0.10344756774173752</v>
      </c>
      <c r="AC154" s="433">
        <f t="shared" si="34"/>
        <v>-0.10039294803684173</v>
      </c>
      <c r="AD154" s="433">
        <f t="shared" si="34"/>
        <v>-9.7420095959867198E-2</v>
      </c>
      <c r="AE154" s="433">
        <f t="shared" si="34"/>
        <v>-9.4527920970151086E-2</v>
      </c>
      <c r="AF154" s="433">
        <f t="shared" si="34"/>
        <v>-9.1715273853332405E-2</v>
      </c>
      <c r="AG154" s="433">
        <f t="shared" si="34"/>
        <v>-8.8980952170493843E-2</v>
      </c>
      <c r="AH154" s="433">
        <f t="shared" si="34"/>
        <v>-8.6323705561764441E-2</v>
      </c>
      <c r="AI154" s="433">
        <f t="shared" si="34"/>
        <v>-8.374224089003246E-2</v>
      </c>
      <c r="AJ154" s="433">
        <f t="shared" si="34"/>
        <v>-8.1235227212477307E-2</v>
      </c>
      <c r="AK154" s="433">
        <f t="shared" si="34"/>
        <v>-7.8801300569630417E-2</v>
      </c>
      <c r="AL154" s="433">
        <f t="shared" si="34"/>
        <v>-7.6439068583566847E-2</v>
      </c>
      <c r="AM154" s="433">
        <f t="shared" si="34"/>
        <v>-7.4147114858609989E-2</v>
      </c>
      <c r="AN154" s="35"/>
      <c r="AO154" s="88">
        <f>ROW()</f>
        <v>154</v>
      </c>
    </row>
    <row r="155" spans="2:41" s="32" customFormat="1" ht="15" customHeight="1">
      <c r="B155" s="32" t="s">
        <v>740</v>
      </c>
      <c r="H155" s="33"/>
      <c r="M155" s="136"/>
      <c r="N155" s="136"/>
      <c r="O155" s="136"/>
      <c r="P155" s="136"/>
      <c r="Q155" s="433">
        <f t="shared" ref="Q155:AM155" si="35">Q143/Q125</f>
        <v>-0.11690495861986752</v>
      </c>
      <c r="R155" s="433">
        <f t="shared" si="35"/>
        <v>-0.11575673004252252</v>
      </c>
      <c r="S155" s="433">
        <f t="shared" si="35"/>
        <v>-0.11461214061645486</v>
      </c>
      <c r="T155" s="433">
        <f t="shared" si="35"/>
        <v>-0.11347158785031451</v>
      </c>
      <c r="U155" s="433">
        <f t="shared" si="35"/>
        <v>-0.11233545400016125</v>
      </c>
      <c r="V155" s="433">
        <f t="shared" si="35"/>
        <v>-0.11120410617652221</v>
      </c>
      <c r="W155" s="433">
        <f t="shared" si="35"/>
        <v>-0.11007789647399234</v>
      </c>
      <c r="X155" s="433">
        <f t="shared" si="35"/>
        <v>-0.10895716212181095</v>
      </c>
      <c r="Y155" s="433">
        <f t="shared" si="35"/>
        <v>-0.10784222565388721</v>
      </c>
      <c r="Z155" s="433">
        <f t="shared" si="35"/>
        <v>-0.10673339509677575</v>
      </c>
      <c r="AA155" s="433">
        <f t="shared" si="35"/>
        <v>-0.1056309641741419</v>
      </c>
      <c r="AB155" s="433">
        <f t="shared" si="35"/>
        <v>-0.10453521252629765</v>
      </c>
      <c r="AC155" s="433">
        <f t="shared" si="35"/>
        <v>-0.10344640594343009</v>
      </c>
      <c r="AD155" s="433">
        <f t="shared" si="35"/>
        <v>-0.10236479661119675</v>
      </c>
      <c r="AE155" s="433">
        <f t="shared" si="35"/>
        <v>-0.10129062336740187</v>
      </c>
      <c r="AF155" s="433">
        <f t="shared" si="35"/>
        <v>-0.10022411196852134</v>
      </c>
      <c r="AG155" s="433">
        <f t="shared" si="35"/>
        <v>-9.9165475364901223E-2</v>
      </c>
      <c r="AH155" s="433">
        <f t="shared" si="35"/>
        <v>-9.8114913983489732E-2</v>
      </c>
      <c r="AI155" s="433">
        <f t="shared" si="35"/>
        <v>-9.7072616017034583E-2</v>
      </c>
      <c r="AJ155" s="433">
        <f t="shared" si="35"/>
        <v>-9.6038757718713896E-2</v>
      </c>
      <c r="AK155" s="433">
        <f t="shared" si="35"/>
        <v>-9.5013503701235028E-2</v>
      </c>
      <c r="AL155" s="433">
        <f t="shared" si="35"/>
        <v>-9.3997007239471519E-2</v>
      </c>
      <c r="AM155" s="433">
        <f t="shared" si="35"/>
        <v>-9.2989410575778517E-2</v>
      </c>
      <c r="AN155" s="35"/>
      <c r="AO155" s="88">
        <f>ROW()</f>
        <v>155</v>
      </c>
    </row>
    <row r="156" spans="2:41" s="32" customFormat="1" ht="15" customHeight="1">
      <c r="B156" s="32" t="s">
        <v>739</v>
      </c>
      <c r="H156" s="33"/>
      <c r="M156" s="136"/>
      <c r="N156" s="136"/>
      <c r="O156" s="136"/>
      <c r="P156" s="136"/>
      <c r="Q156" s="433">
        <f t="shared" ref="Q156:AM156" si="36">Q144/Q126</f>
        <v>-0.23285223308670799</v>
      </c>
      <c r="R156" s="433">
        <f t="shared" si="36"/>
        <v>-0.23145295217751208</v>
      </c>
      <c r="S156" s="433">
        <f t="shared" si="36"/>
        <v>-0.23005065718854603</v>
      </c>
      <c r="T156" s="433">
        <f t="shared" si="36"/>
        <v>-0.22864551550697104</v>
      </c>
      <c r="U156" s="433">
        <f t="shared" si="36"/>
        <v>-0.22723769657350343</v>
      </c>
      <c r="V156" s="433">
        <f t="shared" si="36"/>
        <v>-0.22582737179925583</v>
      </c>
      <c r="W156" s="433">
        <f t="shared" si="36"/>
        <v>-0.22441471448015307</v>
      </c>
      <c r="X156" s="433">
        <f t="shared" si="36"/>
        <v>-0.22299989970900014</v>
      </c>
      <c r="Y156" s="433">
        <f t="shared" si="36"/>
        <v>-0.22158310428528513</v>
      </c>
      <c r="Z156" s="433">
        <f t="shared" si="36"/>
        <v>-0.22016450662281195</v>
      </c>
      <c r="AA156" s="433">
        <f t="shared" si="36"/>
        <v>-0.21874428665525181</v>
      </c>
      <c r="AB156" s="433">
        <f t="shared" si="36"/>
        <v>-0.21666482318763827</v>
      </c>
      <c r="AC156" s="433">
        <f t="shared" si="36"/>
        <v>-0.21458138425383694</v>
      </c>
      <c r="AD156" s="433">
        <f t="shared" si="36"/>
        <v>-0.21249461256550423</v>
      </c>
      <c r="AE156" s="433">
        <f t="shared" si="36"/>
        <v>-0.21040515703604831</v>
      </c>
      <c r="AF156" s="433">
        <f t="shared" si="36"/>
        <v>-0.20831367194093864</v>
      </c>
      <c r="AG156" s="433">
        <f t="shared" si="36"/>
        <v>-0.20622081606131704</v>
      </c>
      <c r="AH156" s="433">
        <f t="shared" si="36"/>
        <v>-0.20412725181321398</v>
      </c>
      <c r="AI156" s="433">
        <f t="shared" si="36"/>
        <v>-0.20203364436474663</v>
      </c>
      <c r="AJ156" s="433">
        <f t="shared" si="36"/>
        <v>-0.19994066074374953</v>
      </c>
      <c r="AK156" s="433">
        <f t="shared" si="36"/>
        <v>-0.19784896893832138</v>
      </c>
      <c r="AL156" s="433">
        <f t="shared" si="36"/>
        <v>-0.19452830914954977</v>
      </c>
      <c r="AM156" s="433">
        <f t="shared" si="36"/>
        <v>-0.1912132496607091</v>
      </c>
      <c r="AN156" s="35"/>
      <c r="AO156" s="88">
        <f>ROW()</f>
        <v>156</v>
      </c>
    </row>
    <row r="157" spans="2:41" s="32" customFormat="1" ht="15" customHeight="1">
      <c r="H157" s="33"/>
      <c r="M157" s="136"/>
      <c r="N157" s="136"/>
      <c r="O157" s="136"/>
      <c r="P157" s="136"/>
      <c r="Q157" s="31"/>
      <c r="R157" s="31"/>
      <c r="S157" s="31"/>
      <c r="T157" s="31"/>
      <c r="U157" s="31"/>
      <c r="V157" s="31"/>
      <c r="W157" s="31"/>
      <c r="X157" s="31"/>
      <c r="Y157" s="31"/>
      <c r="Z157" s="31"/>
      <c r="AA157" s="31"/>
      <c r="AB157" s="31"/>
      <c r="AC157" s="31"/>
      <c r="AD157" s="35"/>
      <c r="AE157" s="35"/>
      <c r="AF157" s="35"/>
      <c r="AG157" s="35"/>
      <c r="AH157" s="35"/>
      <c r="AI157" s="35"/>
      <c r="AJ157" s="35"/>
      <c r="AK157" s="35"/>
      <c r="AL157" s="35"/>
      <c r="AM157" s="35"/>
      <c r="AN157" s="35"/>
      <c r="AO157" s="88">
        <f>ROW()</f>
        <v>157</v>
      </c>
    </row>
    <row r="158" spans="2:41" s="32" customFormat="1" ht="15" customHeight="1">
      <c r="B158" s="8" t="s">
        <v>597</v>
      </c>
      <c r="H158" s="33"/>
      <c r="J158" s="31">
        <f t="shared" ref="J158:AM158" si="37">J129/$I120-1</f>
        <v>-2.5121275276400734E-3</v>
      </c>
      <c r="K158" s="31">
        <f t="shared" si="37"/>
        <v>5.5260952179434497E-3</v>
      </c>
      <c r="L158" s="31">
        <f t="shared" si="37"/>
        <v>-2.2709128822861135E-2</v>
      </c>
      <c r="M158" s="455">
        <f t="shared" si="37"/>
        <v>-8.4604319107665527E-2</v>
      </c>
      <c r="N158" s="455">
        <f t="shared" si="37"/>
        <v>-5.2445769483948856E-2</v>
      </c>
      <c r="O158" s="31">
        <f t="shared" si="37"/>
        <v>-7.5769095522252194E-2</v>
      </c>
      <c r="P158" s="31">
        <f t="shared" si="37"/>
        <v>-0.11605857337464198</v>
      </c>
      <c r="Q158" s="31">
        <f t="shared" si="37"/>
        <v>-0.29022741424330489</v>
      </c>
      <c r="R158" s="31">
        <f t="shared" si="37"/>
        <v>-0.28551480090722037</v>
      </c>
      <c r="S158" s="31">
        <f t="shared" si="37"/>
        <v>-0.28079061678530648</v>
      </c>
      <c r="T158" s="31">
        <f t="shared" si="37"/>
        <v>-0.27605462857689234</v>
      </c>
      <c r="U158" s="31">
        <f t="shared" si="37"/>
        <v>-0.27130658787472994</v>
      </c>
      <c r="V158" s="31">
        <f t="shared" si="37"/>
        <v>-0.26654623156291923</v>
      </c>
      <c r="W158" s="31">
        <f t="shared" si="37"/>
        <v>-0.26177328223073137</v>
      </c>
      <c r="X158" s="31">
        <f t="shared" si="37"/>
        <v>-0.25698744860004574</v>
      </c>
      <c r="Y158" s="31">
        <f t="shared" si="37"/>
        <v>-0.25218842596413626</v>
      </c>
      <c r="Z158" s="31">
        <f t="shared" si="37"/>
        <v>-0.24737589663562254</v>
      </c>
      <c r="AA158" s="31">
        <f t="shared" si="37"/>
        <v>-0.24312415956938793</v>
      </c>
      <c r="AB158" s="31">
        <f t="shared" si="37"/>
        <v>-0.24058037987075476</v>
      </c>
      <c r="AC158" s="31">
        <f t="shared" si="37"/>
        <v>-0.23804771577180805</v>
      </c>
      <c r="AD158" s="31">
        <f t="shared" si="37"/>
        <v>-0.23552581620503055</v>
      </c>
      <c r="AE158" s="31">
        <f t="shared" si="37"/>
        <v>-0.23301432764690544</v>
      </c>
      <c r="AF158" s="31">
        <f t="shared" si="37"/>
        <v>-0.23051289459982172</v>
      </c>
      <c r="AG158" s="31">
        <f t="shared" si="37"/>
        <v>-0.22802116005237894</v>
      </c>
      <c r="AH158" s="31">
        <f t="shared" si="37"/>
        <v>-0.2255387659172593</v>
      </c>
      <c r="AI158" s="31">
        <f t="shared" si="37"/>
        <v>-0.22306535344600309</v>
      </c>
      <c r="AJ158" s="31">
        <f t="shared" si="37"/>
        <v>-0.22060056362017888</v>
      </c>
      <c r="AK158" s="31">
        <f t="shared" si="37"/>
        <v>-0.2178302912505139</v>
      </c>
      <c r="AL158" s="31">
        <f t="shared" si="37"/>
        <v>-0.21628137196383157</v>
      </c>
      <c r="AM158" s="31">
        <f t="shared" si="37"/>
        <v>-0.2144588210008278</v>
      </c>
      <c r="AN158" s="35"/>
      <c r="AO158" s="88">
        <f>ROW()</f>
        <v>158</v>
      </c>
    </row>
    <row r="159" spans="2:41" s="32" customFormat="1" ht="15" customHeight="1">
      <c r="B159" s="32" t="s">
        <v>4</v>
      </c>
      <c r="H159" s="33"/>
      <c r="K159" s="31"/>
      <c r="L159" s="31"/>
      <c r="M159" s="455"/>
      <c r="N159" s="455"/>
      <c r="O159" s="31"/>
      <c r="P159" s="31"/>
      <c r="Q159" s="433">
        <f t="shared" ref="Q159:AM159" si="38">Q130/$I121-1</f>
        <v>-0.42078181590814101</v>
      </c>
      <c r="R159" s="433">
        <f t="shared" si="38"/>
        <v>-0.41958819001718495</v>
      </c>
      <c r="S159" s="433">
        <f t="shared" si="38"/>
        <v>-0.41840064997828674</v>
      </c>
      <c r="T159" s="433">
        <f t="shared" si="38"/>
        <v>-0.41721918461074448</v>
      </c>
      <c r="U159" s="433">
        <f t="shared" si="38"/>
        <v>-0.41604378215219429</v>
      </c>
      <c r="V159" s="433">
        <f t="shared" si="38"/>
        <v>-0.41487443026903104</v>
      </c>
      <c r="W159" s="433">
        <f t="shared" si="38"/>
        <v>-0.41371111606683142</v>
      </c>
      <c r="X159" s="433">
        <f t="shared" si="38"/>
        <v>-0.4125538261007724</v>
      </c>
      <c r="Y159" s="433">
        <f t="shared" si="38"/>
        <v>-0.41140254638604479</v>
      </c>
      <c r="Z159" s="433">
        <f t="shared" si="38"/>
        <v>-0.41025726240825333</v>
      </c>
      <c r="AA159" s="433">
        <f t="shared" si="38"/>
        <v>-0.40911795913380056</v>
      </c>
      <c r="AB159" s="433">
        <f t="shared" si="38"/>
        <v>-0.41148650746391069</v>
      </c>
      <c r="AC159" s="433">
        <f t="shared" si="38"/>
        <v>-0.41387565435229046</v>
      </c>
      <c r="AD159" s="433">
        <f t="shared" si="38"/>
        <v>-0.41628463819728467</v>
      </c>
      <c r="AE159" s="433">
        <f t="shared" si="38"/>
        <v>-0.4187127049449606</v>
      </c>
      <c r="AF159" s="433">
        <f t="shared" si="38"/>
        <v>-0.4211591084114249</v>
      </c>
      <c r="AG159" s="433">
        <f t="shared" si="38"/>
        <v>-0.4236231105863062</v>
      </c>
      <c r="AH159" s="433">
        <f t="shared" si="38"/>
        <v>-0.42610398191766485</v>
      </c>
      <c r="AI159" s="433">
        <f t="shared" si="38"/>
        <v>-0.4286010015786097</v>
      </c>
      <c r="AJ159" s="433">
        <f t="shared" si="38"/>
        <v>-0.4311134577159399</v>
      </c>
      <c r="AK159" s="433">
        <f t="shared" si="38"/>
        <v>-0.43364064768113753</v>
      </c>
      <c r="AL159" s="433">
        <f t="shared" si="38"/>
        <v>-0.43838773616579096</v>
      </c>
      <c r="AM159" s="433">
        <f t="shared" si="38"/>
        <v>-0.44313640513306718</v>
      </c>
      <c r="AN159" s="35"/>
      <c r="AO159" s="88">
        <f>ROW()</f>
        <v>159</v>
      </c>
    </row>
    <row r="160" spans="2:41" s="32" customFormat="1" ht="15" customHeight="1">
      <c r="B160" s="32" t="s">
        <v>222</v>
      </c>
      <c r="H160" s="33"/>
      <c r="K160" s="31"/>
      <c r="L160" s="31"/>
      <c r="M160" s="455"/>
      <c r="N160" s="455"/>
      <c r="O160" s="31"/>
      <c r="P160" s="31"/>
      <c r="Q160" s="433">
        <f t="shared" ref="Q160:AM160" si="39">Q131/$I122-1</f>
        <v>-0.14977408057025154</v>
      </c>
      <c r="R160" s="433">
        <f t="shared" si="39"/>
        <v>-0.1419619668175488</v>
      </c>
      <c r="S160" s="433">
        <f t="shared" si="39"/>
        <v>-0.13411270440778922</v>
      </c>
      <c r="T160" s="433">
        <f t="shared" si="39"/>
        <v>-0.12622600754330437</v>
      </c>
      <c r="U160" s="433">
        <f t="shared" si="39"/>
        <v>-0.11830157953486808</v>
      </c>
      <c r="V160" s="433">
        <f t="shared" si="39"/>
        <v>-0.11033911299450216</v>
      </c>
      <c r="W160" s="433">
        <f t="shared" si="39"/>
        <v>-0.10233829003127293</v>
      </c>
      <c r="X160" s="433">
        <f t="shared" si="39"/>
        <v>-9.4298782449530383E-2</v>
      </c>
      <c r="Y160" s="433">
        <f t="shared" si="39"/>
        <v>-8.6220251949057025E-2</v>
      </c>
      <c r="Z160" s="433">
        <f t="shared" si="39"/>
        <v>-7.8102350326614278E-2</v>
      </c>
      <c r="AA160" s="433">
        <f t="shared" si="39"/>
        <v>-7.1106434983775224E-2</v>
      </c>
      <c r="AB160" s="433">
        <f t="shared" si="39"/>
        <v>-6.4089438612502381E-2</v>
      </c>
      <c r="AC160" s="433">
        <f t="shared" si="39"/>
        <v>-5.7051099464051513E-2</v>
      </c>
      <c r="AD160" s="433">
        <f t="shared" si="39"/>
        <v>-4.9991148304696753E-2</v>
      </c>
      <c r="AE160" s="433">
        <f t="shared" si="39"/>
        <v>-4.2909308667491319E-2</v>
      </c>
      <c r="AF160" s="433">
        <f t="shared" si="39"/>
        <v>-3.5805297101151878E-2</v>
      </c>
      <c r="AG160" s="433">
        <f t="shared" si="39"/>
        <v>-2.8678823415733801E-2</v>
      </c>
      <c r="AH160" s="433">
        <f t="shared" si="39"/>
        <v>-2.1529590924788566E-2</v>
      </c>
      <c r="AI160" s="433">
        <f t="shared" si="39"/>
        <v>-1.4357296683726428E-2</v>
      </c>
      <c r="AJ160" s="433">
        <f t="shared" si="39"/>
        <v>-7.1616317241230965E-3</v>
      </c>
      <c r="AK160" s="433">
        <f t="shared" si="39"/>
        <v>7.0622336990666668E-4</v>
      </c>
      <c r="AL160" s="433">
        <f t="shared" si="39"/>
        <v>8.6079020134177675E-3</v>
      </c>
      <c r="AM160" s="433">
        <f t="shared" si="39"/>
        <v>1.7155529183163765E-2</v>
      </c>
      <c r="AN160" s="35"/>
      <c r="AO160" s="88">
        <f>ROW()</f>
        <v>160</v>
      </c>
    </row>
    <row r="161" spans="1:41" s="32" customFormat="1" ht="15" customHeight="1">
      <c r="B161" s="32" t="s">
        <v>164</v>
      </c>
      <c r="H161" s="33"/>
      <c r="K161" s="31"/>
      <c r="L161" s="31"/>
      <c r="M161" s="455"/>
      <c r="N161" s="455"/>
      <c r="O161" s="31"/>
      <c r="P161" s="31"/>
      <c r="Q161" s="433">
        <f t="shared" ref="Q161:AM161" si="40">Q132/$I123-1</f>
        <v>-0.22025328371894204</v>
      </c>
      <c r="R161" s="433">
        <f t="shared" si="40"/>
        <v>-0.2150989249443912</v>
      </c>
      <c r="S161" s="433">
        <f t="shared" si="40"/>
        <v>-0.20999344896684213</v>
      </c>
      <c r="T161" s="433">
        <f t="shared" si="40"/>
        <v>-0.20493719250821774</v>
      </c>
      <c r="U161" s="433">
        <f t="shared" si="40"/>
        <v>-0.19993043836976676</v>
      </c>
      <c r="V161" s="433">
        <f t="shared" si="40"/>
        <v>-0.19497341646012756</v>
      </c>
      <c r="W161" s="433">
        <f t="shared" si="40"/>
        <v>-0.19006630491406118</v>
      </c>
      <c r="X161" s="433">
        <f t="shared" si="40"/>
        <v>-0.18520923129481803</v>
      </c>
      <c r="Y161" s="433">
        <f t="shared" si="40"/>
        <v>-0.18040227387302776</v>
      </c>
      <c r="Z161" s="433">
        <f t="shared" si="40"/>
        <v>-0.17564546297495831</v>
      </c>
      <c r="AA161" s="433">
        <f t="shared" si="40"/>
        <v>-0.17197434783300902</v>
      </c>
      <c r="AB161" s="433">
        <f t="shared" si="40"/>
        <v>-0.16836363393924225</v>
      </c>
      <c r="AC161" s="433">
        <f t="shared" si="40"/>
        <v>-0.16481300930705955</v>
      </c>
      <c r="AD161" s="433">
        <f t="shared" si="40"/>
        <v>-0.16132212118396627</v>
      </c>
      <c r="AE161" s="433">
        <f t="shared" si="40"/>
        <v>-0.15789057788963945</v>
      </c>
      <c r="AF161" s="433">
        <f t="shared" si="40"/>
        <v>-0.15451795066899243</v>
      </c>
      <c r="AG161" s="433">
        <f t="shared" si="40"/>
        <v>-0.15120377555377196</v>
      </c>
      <c r="AH161" s="433">
        <f t="shared" si="40"/>
        <v>-0.14794755522652281</v>
      </c>
      <c r="AI161" s="433">
        <f t="shared" si="40"/>
        <v>-0.14474876088106114</v>
      </c>
      <c r="AJ161" s="433">
        <f t="shared" si="40"/>
        <v>-0.14160683407392249</v>
      </c>
      <c r="AK161" s="433">
        <f t="shared" si="40"/>
        <v>-0.13796254778737949</v>
      </c>
      <c r="AL161" s="433">
        <f t="shared" si="40"/>
        <v>-0.13436963735501284</v>
      </c>
      <c r="AM161" s="433">
        <f t="shared" si="40"/>
        <v>-0.13030451303632429</v>
      </c>
      <c r="AN161" s="35"/>
      <c r="AO161" s="88">
        <f>ROW()</f>
        <v>161</v>
      </c>
    </row>
    <row r="162" spans="1:41" s="32" customFormat="1" ht="15" customHeight="1">
      <c r="B162" s="32" t="s">
        <v>18</v>
      </c>
      <c r="H162" s="33"/>
      <c r="K162" s="31"/>
      <c r="L162" s="31"/>
      <c r="M162" s="455"/>
      <c r="N162" s="455"/>
      <c r="O162" s="31"/>
      <c r="P162" s="31"/>
      <c r="Q162" s="433">
        <f t="shared" ref="Q162:AM162" si="41">Q133/$I124-1</f>
        <v>-0.28800047199346746</v>
      </c>
      <c r="R162" s="433">
        <f t="shared" si="41"/>
        <v>-0.28162123116464721</v>
      </c>
      <c r="S162" s="433">
        <f t="shared" si="41"/>
        <v>-0.27531183024495831</v>
      </c>
      <c r="T162" s="433">
        <f t="shared" si="41"/>
        <v>-0.26907265328020258</v>
      </c>
      <c r="U162" s="433">
        <f t="shared" si="41"/>
        <v>-0.26290396407031935</v>
      </c>
      <c r="V162" s="433">
        <f t="shared" si="41"/>
        <v>-0.25680591028437572</v>
      </c>
      <c r="W162" s="433">
        <f t="shared" si="41"/>
        <v>-0.2507785277947957</v>
      </c>
      <c r="X162" s="433">
        <f t="shared" si="41"/>
        <v>-0.24482174519729694</v>
      </c>
      <c r="Y162" s="433">
        <f t="shared" si="41"/>
        <v>-0.23893538848384788</v>
      </c>
      <c r="Z162" s="433">
        <f t="shared" si="41"/>
        <v>-0.23311918583702806</v>
      </c>
      <c r="AA162" s="433">
        <f t="shared" si="41"/>
        <v>-0.22881993251321464</v>
      </c>
      <c r="AB162" s="433">
        <f t="shared" si="41"/>
        <v>-0.22460855205313757</v>
      </c>
      <c r="AC162" s="433">
        <f t="shared" si="41"/>
        <v>-0.22048406826977385</v>
      </c>
      <c r="AD162" s="433">
        <f t="shared" si="41"/>
        <v>-0.2164454331423632</v>
      </c>
      <c r="AE162" s="433">
        <f t="shared" si="41"/>
        <v>-0.21249153244776442</v>
      </c>
      <c r="AF162" s="433">
        <f t="shared" si="41"/>
        <v>-0.20862119129571166</v>
      </c>
      <c r="AG162" s="433">
        <f t="shared" si="41"/>
        <v>-0.20483317954878044</v>
      </c>
      <c r="AH162" s="433">
        <f t="shared" si="41"/>
        <v>-0.20112621710996492</v>
      </c>
      <c r="AI162" s="433">
        <f t="shared" si="41"/>
        <v>-0.19749897906287206</v>
      </c>
      <c r="AJ162" s="433">
        <f t="shared" si="41"/>
        <v>-0.19395010065152629</v>
      </c>
      <c r="AK162" s="433">
        <f t="shared" si="41"/>
        <v>-0.18969063189791091</v>
      </c>
      <c r="AL162" s="433">
        <f t="shared" si="41"/>
        <v>-0.18549931500109429</v>
      </c>
      <c r="AM162" s="433">
        <f t="shared" si="41"/>
        <v>-0.18063583211627121</v>
      </c>
      <c r="AN162" s="35"/>
      <c r="AO162" s="88">
        <f>ROW()</f>
        <v>162</v>
      </c>
    </row>
    <row r="163" spans="1:41" s="32" customFormat="1" ht="15" customHeight="1">
      <c r="B163" s="32" t="s">
        <v>740</v>
      </c>
      <c r="H163" s="33"/>
      <c r="M163" s="136"/>
      <c r="N163" s="136"/>
      <c r="O163" s="136"/>
      <c r="P163" s="136"/>
      <c r="Q163" s="433">
        <f t="shared" ref="Q163:AM163" si="42">Q134/$I125-1</f>
        <v>-0.20257949445679646</v>
      </c>
      <c r="R163" s="433">
        <f t="shared" si="42"/>
        <v>-0.19856583032369113</v>
      </c>
      <c r="S163" s="433">
        <f t="shared" si="42"/>
        <v>-0.19458349406786524</v>
      </c>
      <c r="T163" s="433">
        <f t="shared" si="42"/>
        <v>-0.19063238525393711</v>
      </c>
      <c r="U163" s="433">
        <f t="shared" si="42"/>
        <v>-0.18671239125949501</v>
      </c>
      <c r="V163" s="433">
        <f t="shared" si="42"/>
        <v>-0.18282338784216401</v>
      </c>
      <c r="W163" s="433">
        <f t="shared" si="42"/>
        <v>-0.17896523969895362</v>
      </c>
      <c r="X163" s="433">
        <f t="shared" si="42"/>
        <v>-0.17513780101710619</v>
      </c>
      <c r="Y163" s="433">
        <f t="shared" si="42"/>
        <v>-0.17134091601574541</v>
      </c>
      <c r="Z163" s="433">
        <f t="shared" si="42"/>
        <v>-0.16757441947768437</v>
      </c>
      <c r="AA163" s="433">
        <f t="shared" si="42"/>
        <v>-0.16501303457773531</v>
      </c>
      <c r="AB163" s="433">
        <f t="shared" si="42"/>
        <v>-0.16249043865855894</v>
      </c>
      <c r="AC163" s="433">
        <f t="shared" si="42"/>
        <v>-0.16000629605207251</v>
      </c>
      <c r="AD163" s="433">
        <f t="shared" si="42"/>
        <v>-0.15756026517245436</v>
      </c>
      <c r="AE163" s="433">
        <f t="shared" si="42"/>
        <v>-0.15515199903513899</v>
      </c>
      <c r="AF163" s="433">
        <f t="shared" si="42"/>
        <v>-0.15278114575930613</v>
      </c>
      <c r="AG163" s="433">
        <f t="shared" si="42"/>
        <v>-0.15044734905376456</v>
      </c>
      <c r="AH163" s="433">
        <f t="shared" si="42"/>
        <v>-0.14815024868617732</v>
      </c>
      <c r="AI163" s="433">
        <f t="shared" si="42"/>
        <v>-0.14588948093562626</v>
      </c>
      <c r="AJ163" s="433">
        <f t="shared" si="42"/>
        <v>-0.14366467902855196</v>
      </c>
      <c r="AK163" s="433">
        <f t="shared" si="42"/>
        <v>-0.14084913253450726</v>
      </c>
      <c r="AL163" s="433">
        <f t="shared" si="42"/>
        <v>-0.13806520984768234</v>
      </c>
      <c r="AM163" s="433">
        <f t="shared" si="42"/>
        <v>-0.1347271860012148</v>
      </c>
      <c r="AN163" s="35"/>
      <c r="AO163" s="88">
        <f>ROW()</f>
        <v>163</v>
      </c>
    </row>
    <row r="164" spans="1:41" s="32" customFormat="1" ht="15" customHeight="1">
      <c r="B164" s="32" t="s">
        <v>739</v>
      </c>
      <c r="H164" s="33"/>
      <c r="K164" s="31"/>
      <c r="L164" s="31"/>
      <c r="M164" s="455"/>
      <c r="N164" s="455"/>
      <c r="O164" s="31"/>
      <c r="P164" s="31"/>
      <c r="Q164" s="433">
        <f t="shared" ref="Q164:AM164" si="43">Q135/$I126-1</f>
        <v>-0.24744940066878351</v>
      </c>
      <c r="R164" s="433">
        <f t="shared" si="43"/>
        <v>-0.2348566849250775</v>
      </c>
      <c r="S164" s="433">
        <f t="shared" si="43"/>
        <v>-0.22208075743003697</v>
      </c>
      <c r="T164" s="433">
        <f t="shared" si="43"/>
        <v>-0.20911961529008083</v>
      </c>
      <c r="U164" s="433">
        <f t="shared" si="43"/>
        <v>-0.19597124599425397</v>
      </c>
      <c r="V164" s="433">
        <f t="shared" si="43"/>
        <v>-0.18263362745302247</v>
      </c>
      <c r="W164" s="433">
        <f t="shared" si="43"/>
        <v>-0.16910472803001364</v>
      </c>
      <c r="X164" s="433">
        <f t="shared" si="43"/>
        <v>-0.15538250656636765</v>
      </c>
      <c r="Y164" s="433">
        <f t="shared" si="43"/>
        <v>-0.14146491239737014</v>
      </c>
      <c r="Z164" s="433">
        <f t="shared" si="43"/>
        <v>-0.12734988536103764</v>
      </c>
      <c r="AA164" s="433">
        <f t="shared" si="43"/>
        <v>-0.11303535579833768</v>
      </c>
      <c r="AB164" s="433">
        <f t="shared" si="43"/>
        <v>-0.10137796232100049</v>
      </c>
      <c r="AC164" s="433">
        <f t="shared" si="43"/>
        <v>-8.964462712474397E-2</v>
      </c>
      <c r="AD164" s="433">
        <f t="shared" si="43"/>
        <v>-7.7836799910036336E-2</v>
      </c>
      <c r="AE164" s="433">
        <f t="shared" si="43"/>
        <v>-6.5955960478415454E-2</v>
      </c>
      <c r="AF164" s="433">
        <f t="shared" si="43"/>
        <v>-5.4003616984201863E-2</v>
      </c>
      <c r="AG164" s="433">
        <f t="shared" si="43"/>
        <v>-4.1981304119837692E-2</v>
      </c>
      <c r="AH164" s="433">
        <f t="shared" si="43"/>
        <v>-2.9890581238816716E-2</v>
      </c>
      <c r="AI164" s="433">
        <f t="shared" si="43"/>
        <v>-1.7733030420428952E-2</v>
      </c>
      <c r="AJ164" s="433">
        <f t="shared" si="43"/>
        <v>-5.5102544808184328E-3</v>
      </c>
      <c r="AK164" s="433">
        <f t="shared" si="43"/>
        <v>6.7761250649487348E-3</v>
      </c>
      <c r="AL164" s="433">
        <f t="shared" si="43"/>
        <v>1.594896963238579E-2</v>
      </c>
      <c r="AM164" s="433">
        <f t="shared" si="43"/>
        <v>2.4964830698977147E-2</v>
      </c>
      <c r="AN164" s="35"/>
      <c r="AO164" s="88">
        <f>ROW()</f>
        <v>164</v>
      </c>
    </row>
    <row r="165" spans="1:41" ht="15" customHeight="1">
      <c r="A165" s="32"/>
      <c r="AO165" s="88">
        <f>ROW()</f>
        <v>165</v>
      </c>
    </row>
    <row r="166" spans="1:41" s="32" customFormat="1" ht="15" customHeight="1">
      <c r="A166"/>
      <c r="B166" s="8" t="s">
        <v>745</v>
      </c>
      <c r="H166" s="33"/>
      <c r="I166" s="236"/>
      <c r="J166" s="236"/>
      <c r="K166" s="236"/>
      <c r="L166" s="236"/>
      <c r="M166" s="320"/>
      <c r="N166" s="320"/>
      <c r="O166" s="236"/>
      <c r="P166" s="236"/>
      <c r="Q166" s="236">
        <f>Q116</f>
        <v>2015</v>
      </c>
      <c r="R166" s="236">
        <f>R116</f>
        <v>2016</v>
      </c>
      <c r="S166" s="236">
        <f t="shared" ref="S166:AM166" si="44">S116</f>
        <v>2017</v>
      </c>
      <c r="T166" s="236">
        <f t="shared" si="44"/>
        <v>2018</v>
      </c>
      <c r="U166" s="236">
        <f t="shared" si="44"/>
        <v>2019</v>
      </c>
      <c r="V166" s="236">
        <f t="shared" si="44"/>
        <v>2020</v>
      </c>
      <c r="W166" s="236">
        <f t="shared" si="44"/>
        <v>2021</v>
      </c>
      <c r="X166" s="236">
        <f t="shared" si="44"/>
        <v>2022</v>
      </c>
      <c r="Y166" s="236">
        <f t="shared" si="44"/>
        <v>2023</v>
      </c>
      <c r="Z166" s="236">
        <f t="shared" si="44"/>
        <v>2024</v>
      </c>
      <c r="AA166" s="236">
        <f t="shared" si="44"/>
        <v>2025</v>
      </c>
      <c r="AB166" s="236">
        <f t="shared" si="44"/>
        <v>2026</v>
      </c>
      <c r="AC166" s="236">
        <f t="shared" si="44"/>
        <v>2027</v>
      </c>
      <c r="AD166" s="236">
        <f t="shared" si="44"/>
        <v>2028</v>
      </c>
      <c r="AE166" s="236">
        <f t="shared" si="44"/>
        <v>2029</v>
      </c>
      <c r="AF166" s="236">
        <f t="shared" si="44"/>
        <v>2030</v>
      </c>
      <c r="AG166" s="236">
        <f t="shared" si="44"/>
        <v>2031</v>
      </c>
      <c r="AH166" s="236">
        <f t="shared" si="44"/>
        <v>2032</v>
      </c>
      <c r="AI166" s="236">
        <f t="shared" si="44"/>
        <v>2033</v>
      </c>
      <c r="AJ166" s="236">
        <f t="shared" si="44"/>
        <v>2034</v>
      </c>
      <c r="AK166" s="236">
        <f t="shared" si="44"/>
        <v>2035</v>
      </c>
      <c r="AL166" s="236">
        <f t="shared" si="44"/>
        <v>2036</v>
      </c>
      <c r="AM166" s="236">
        <f t="shared" si="44"/>
        <v>2037</v>
      </c>
      <c r="AN166" s="35"/>
      <c r="AO166" s="88">
        <f>ROW()</f>
        <v>166</v>
      </c>
    </row>
    <row r="167" spans="1:41" s="32" customFormat="1" ht="15" customHeight="1">
      <c r="B167" s="32" t="s">
        <v>4</v>
      </c>
      <c r="H167" s="33"/>
      <c r="M167" s="136"/>
      <c r="N167" s="136"/>
      <c r="O167" s="136"/>
      <c r="P167" s="136"/>
      <c r="Q167" s="36">
        <f t="shared" ref="Q167:AM167" si="45">Q139/Q$138</f>
        <v>0.57370083563823493</v>
      </c>
      <c r="R167" s="36">
        <f t="shared" si="45"/>
        <v>0.57380907695310457</v>
      </c>
      <c r="S167" s="36">
        <f t="shared" si="45"/>
        <v>0.57391146582871522</v>
      </c>
      <c r="T167" s="36">
        <f t="shared" si="45"/>
        <v>0.5740072516991982</v>
      </c>
      <c r="U167" s="36">
        <f t="shared" si="45"/>
        <v>0.57409571391839287</v>
      </c>
      <c r="V167" s="36">
        <f t="shared" si="45"/>
        <v>0.57417616217579803</v>
      </c>
      <c r="W167" s="36">
        <f t="shared" si="45"/>
        <v>0.57424793681362141</v>
      </c>
      <c r="X167" s="36">
        <f t="shared" si="45"/>
        <v>0.57431040904755271</v>
      </c>
      <c r="Y167" s="36">
        <f t="shared" si="45"/>
        <v>0.57436298109425488</v>
      </c>
      <c r="Z167" s="36">
        <f t="shared" si="45"/>
        <v>0.57440508620886654</v>
      </c>
      <c r="AA167" s="36">
        <f t="shared" si="45"/>
        <v>0.57466022931385263</v>
      </c>
      <c r="AB167" s="36">
        <f t="shared" si="45"/>
        <v>0.57290454005374813</v>
      </c>
      <c r="AC167" s="36">
        <f t="shared" si="45"/>
        <v>0.57116149963280438</v>
      </c>
      <c r="AD167" s="36">
        <f t="shared" si="45"/>
        <v>0.5694309712997907</v>
      </c>
      <c r="AE167" s="36">
        <f t="shared" si="45"/>
        <v>0.56771281764862891</v>
      </c>
      <c r="AF167" s="36">
        <f t="shared" si="45"/>
        <v>0.56600689993559161</v>
      </c>
      <c r="AG167" s="36">
        <f t="shared" si="45"/>
        <v>0.5643130773900763</v>
      </c>
      <c r="AH167" s="36">
        <f t="shared" si="45"/>
        <v>0.56263120652477672</v>
      </c>
      <c r="AI167" s="36">
        <f t="shared" si="45"/>
        <v>0.56096114045084244</v>
      </c>
      <c r="AJ167" s="36">
        <f t="shared" si="45"/>
        <v>0.55930272820337823</v>
      </c>
      <c r="AK167" s="36">
        <f t="shared" si="45"/>
        <v>0.55754301007656959</v>
      </c>
      <c r="AL167" s="36">
        <f t="shared" si="45"/>
        <v>0.55514081551588934</v>
      </c>
      <c r="AM167" s="36">
        <f t="shared" si="45"/>
        <v>0.5526820004544809</v>
      </c>
      <c r="AN167" s="35"/>
      <c r="AO167" s="88">
        <f>ROW()</f>
        <v>167</v>
      </c>
    </row>
    <row r="168" spans="1:41" s="32" customFormat="1" ht="15" customHeight="1">
      <c r="B168" s="32" t="s">
        <v>222</v>
      </c>
      <c r="H168" s="33"/>
      <c r="M168" s="136"/>
      <c r="N168" s="136"/>
      <c r="O168" s="136"/>
      <c r="P168" s="136"/>
      <c r="Q168" s="36">
        <f t="shared" ref="Q168:AM169" si="46">Q140/Q$138</f>
        <v>0.13352097076838301</v>
      </c>
      <c r="R168" s="36">
        <f t="shared" si="46"/>
        <v>0.13315076261852468</v>
      </c>
      <c r="S168" s="36">
        <f t="shared" si="46"/>
        <v>0.13278796796265038</v>
      </c>
      <c r="T168" s="36">
        <f t="shared" si="46"/>
        <v>0.13243265140627616</v>
      </c>
      <c r="U168" s="36">
        <f t="shared" si="46"/>
        <v>0.13208487894875368</v>
      </c>
      <c r="V168" s="36">
        <f t="shared" si="46"/>
        <v>0.13174471788482145</v>
      </c>
      <c r="W168" s="36">
        <f t="shared" si="46"/>
        <v>0.13141223669325744</v>
      </c>
      <c r="X168" s="36">
        <f t="shared" si="46"/>
        <v>0.13108750491400953</v>
      </c>
      <c r="Y168" s="36">
        <f t="shared" si="46"/>
        <v>0.13077059301516547</v>
      </c>
      <c r="Z168" s="36">
        <f t="shared" si="46"/>
        <v>0.1304615722511141</v>
      </c>
      <c r="AA168" s="36">
        <f t="shared" si="46"/>
        <v>0.13004863494279364</v>
      </c>
      <c r="AB168" s="36">
        <f t="shared" si="46"/>
        <v>0.13054564182570588</v>
      </c>
      <c r="AC168" s="36">
        <f t="shared" si="46"/>
        <v>0.13105136695832667</v>
      </c>
      <c r="AD168" s="36">
        <f t="shared" si="46"/>
        <v>0.13156603943419265</v>
      </c>
      <c r="AE168" s="36">
        <f t="shared" si="46"/>
        <v>0.13208988845517336</v>
      </c>
      <c r="AF168" s="36">
        <f t="shared" si="46"/>
        <v>0.1326231430867322</v>
      </c>
      <c r="AG168" s="36">
        <f t="shared" si="46"/>
        <v>0.13316603200628258</v>
      </c>
      <c r="AH168" s="36">
        <f t="shared" si="46"/>
        <v>0.13371878324567779</v>
      </c>
      <c r="AI168" s="36">
        <f t="shared" si="46"/>
        <v>0.13428162392888626</v>
      </c>
      <c r="AJ168" s="36">
        <f t="shared" si="46"/>
        <v>0.13485478000587778</v>
      </c>
      <c r="AK168" s="36">
        <f t="shared" si="46"/>
        <v>0.1354988887985133</v>
      </c>
      <c r="AL168" s="36">
        <f t="shared" si="46"/>
        <v>0.13686182433385405</v>
      </c>
      <c r="AM168" s="36">
        <f t="shared" si="46"/>
        <v>0.13830598311690487</v>
      </c>
      <c r="AN168" s="35"/>
      <c r="AO168" s="88">
        <f>ROW()</f>
        <v>168</v>
      </c>
    </row>
    <row r="169" spans="1:41" s="32" customFormat="1" ht="15" customHeight="1">
      <c r="B169" s="32" t="s">
        <v>164</v>
      </c>
      <c r="H169" s="33"/>
      <c r="M169" s="136"/>
      <c r="N169" s="136"/>
      <c r="O169" s="136"/>
      <c r="P169" s="136"/>
      <c r="Q169" s="36">
        <f t="shared" si="46"/>
        <v>6.3758706502485246E-2</v>
      </c>
      <c r="R169" s="36">
        <f t="shared" si="46"/>
        <v>6.3218373687445942E-2</v>
      </c>
      <c r="S169" s="36">
        <f t="shared" si="46"/>
        <v>6.2677311494724774E-2</v>
      </c>
      <c r="T169" s="36">
        <f t="shared" si="46"/>
        <v>6.2135944726359527E-2</v>
      </c>
      <c r="U169" s="36">
        <f t="shared" si="46"/>
        <v>6.1594688855460378E-2</v>
      </c>
      <c r="V169" s="36">
        <f t="shared" si="46"/>
        <v>6.1053949485615336E-2</v>
      </c>
      <c r="W169" s="36">
        <f t="shared" si="46"/>
        <v>6.0514121848770933E-2</v>
      </c>
      <c r="X169" s="36">
        <f t="shared" si="46"/>
        <v>5.9975590342553016E-2</v>
      </c>
      <c r="Y169" s="36">
        <f t="shared" si="46"/>
        <v>5.9438728107758729E-2</v>
      </c>
      <c r="Z169" s="36">
        <f t="shared" si="46"/>
        <v>5.8903896646523443E-2</v>
      </c>
      <c r="AA169" s="36">
        <f t="shared" si="46"/>
        <v>5.8321272260541041E-2</v>
      </c>
      <c r="AB169" s="36">
        <f t="shared" si="46"/>
        <v>5.8143753082978901E-2</v>
      </c>
      <c r="AC169" s="36">
        <f t="shared" si="46"/>
        <v>5.79646731869016E-2</v>
      </c>
      <c r="AD169" s="36">
        <f t="shared" si="46"/>
        <v>5.7784370567468483E-2</v>
      </c>
      <c r="AE169" s="36">
        <f t="shared" si="46"/>
        <v>5.7603176444346919E-2</v>
      </c>
      <c r="AF169" s="36">
        <f t="shared" si="46"/>
        <v>5.7421414820850392E-2</v>
      </c>
      <c r="AG169" s="36">
        <f t="shared" si="46"/>
        <v>5.7239402075093565E-2</v>
      </c>
      <c r="AH169" s="36">
        <f t="shared" si="46"/>
        <v>5.7057446583385067E-2</v>
      </c>
      <c r="AI169" s="36">
        <f t="shared" si="46"/>
        <v>5.6875848375910143E-2</v>
      </c>
      <c r="AJ169" s="36">
        <f t="shared" si="46"/>
        <v>5.6694898824607126E-2</v>
      </c>
      <c r="AK169" s="36">
        <f t="shared" si="46"/>
        <v>5.6540089026734908E-2</v>
      </c>
      <c r="AL169" s="36">
        <f t="shared" si="46"/>
        <v>5.6679338871562027E-2</v>
      </c>
      <c r="AM169" s="36">
        <f t="shared" si="46"/>
        <v>5.6844110713515625E-2</v>
      </c>
      <c r="AN169" s="35"/>
      <c r="AO169" s="88">
        <f>ROW()</f>
        <v>169</v>
      </c>
    </row>
    <row r="170" spans="1:41" s="32" customFormat="1" ht="15" customHeight="1">
      <c r="B170" s="32" t="s">
        <v>18</v>
      </c>
      <c r="H170" s="33"/>
      <c r="M170" s="136"/>
      <c r="N170" s="136"/>
      <c r="O170" s="136"/>
      <c r="P170" s="136"/>
      <c r="Q170" s="36">
        <f t="shared" ref="Q170:AM170" si="47">Q142/Q$138</f>
        <v>2.62046664106718E-2</v>
      </c>
      <c r="R170" s="36">
        <f t="shared" si="47"/>
        <v>2.5678697618661893E-2</v>
      </c>
      <c r="S170" s="36">
        <f t="shared" si="47"/>
        <v>2.5157004087630212E-2</v>
      </c>
      <c r="T170" s="36">
        <f t="shared" si="47"/>
        <v>2.4639960856411736E-2</v>
      </c>
      <c r="U170" s="36">
        <f t="shared" si="47"/>
        <v>2.4127921687767298E-2</v>
      </c>
      <c r="V170" s="36">
        <f t="shared" si="47"/>
        <v>2.3621219069080903E-2</v>
      </c>
      <c r="W170" s="36">
        <f t="shared" si="47"/>
        <v>2.3120164287575271E-2</v>
      </c>
      <c r="X170" s="36">
        <f t="shared" si="47"/>
        <v>2.2625047575895438E-2</v>
      </c>
      <c r="Y170" s="36">
        <f t="shared" si="47"/>
        <v>2.2136138323697915E-2</v>
      </c>
      <c r="Z170" s="36">
        <f t="shared" si="47"/>
        <v>2.1653685350722152E-2</v>
      </c>
      <c r="AA170" s="36">
        <f t="shared" si="47"/>
        <v>2.1146494503642244E-2</v>
      </c>
      <c r="AB170" s="36">
        <f t="shared" si="47"/>
        <v>2.0791180023724876E-2</v>
      </c>
      <c r="AC170" s="36">
        <f t="shared" si="47"/>
        <v>2.0438395301920893E-2</v>
      </c>
      <c r="AD170" s="36">
        <f t="shared" si="47"/>
        <v>2.0088399988955778E-2</v>
      </c>
      <c r="AE170" s="36">
        <f t="shared" si="47"/>
        <v>1.9741438889882956E-2</v>
      </c>
      <c r="AF170" s="36">
        <f t="shared" si="47"/>
        <v>1.9397742098050768E-2</v>
      </c>
      <c r="AG170" s="36">
        <f t="shared" si="47"/>
        <v>1.9057525171033783E-2</v>
      </c>
      <c r="AH170" s="36">
        <f t="shared" si="47"/>
        <v>1.8720989345084357E-2</v>
      </c>
      <c r="AI170" s="36">
        <f t="shared" si="47"/>
        <v>1.8388321784673572E-2</v>
      </c>
      <c r="AJ170" s="36">
        <f t="shared" si="47"/>
        <v>1.8059695863726365E-2</v>
      </c>
      <c r="AK170" s="36">
        <f t="shared" si="47"/>
        <v>1.7748934360014196E-2</v>
      </c>
      <c r="AL170" s="36">
        <f t="shared" si="47"/>
        <v>1.7532673397200688E-2</v>
      </c>
      <c r="AM170" s="36">
        <f t="shared" si="47"/>
        <v>1.7330344735751468E-2</v>
      </c>
      <c r="AN170" s="35"/>
      <c r="AO170" s="88">
        <f>ROW()</f>
        <v>170</v>
      </c>
    </row>
    <row r="171" spans="1:41" s="32" customFormat="1" ht="15" customHeight="1">
      <c r="B171" s="32" t="s">
        <v>740</v>
      </c>
      <c r="H171" s="33"/>
      <c r="M171" s="136"/>
      <c r="N171" s="136"/>
      <c r="O171" s="136"/>
      <c r="P171" s="136"/>
      <c r="Q171" s="36">
        <f t="shared" ref="Q171:AM171" si="48">Q143/Q$138</f>
        <v>8.3991349726023901E-2</v>
      </c>
      <c r="R171" s="36">
        <f t="shared" si="48"/>
        <v>8.3804658372007443E-2</v>
      </c>
      <c r="S171" s="36">
        <f t="shared" si="48"/>
        <v>8.3606330727503356E-2</v>
      </c>
      <c r="T171" s="36">
        <f t="shared" si="48"/>
        <v>8.3396655263982003E-2</v>
      </c>
      <c r="U171" s="36">
        <f t="shared" si="48"/>
        <v>8.3175923888780701E-2</v>
      </c>
      <c r="V171" s="36">
        <f t="shared" si="48"/>
        <v>8.2944431563718377E-2</v>
      </c>
      <c r="W171" s="36">
        <f t="shared" si="48"/>
        <v>8.2702475922654617E-2</v>
      </c>
      <c r="X171" s="36">
        <f t="shared" si="48"/>
        <v>8.2450356888893517E-2</v>
      </c>
      <c r="Y171" s="36">
        <f t="shared" si="48"/>
        <v>8.2188376293365312E-2</v>
      </c>
      <c r="Z171" s="36">
        <f t="shared" si="48"/>
        <v>8.1916837494530451E-2</v>
      </c>
      <c r="AA171" s="36">
        <f t="shared" si="48"/>
        <v>8.155313240249816E-2</v>
      </c>
      <c r="AB171" s="36">
        <f t="shared" si="48"/>
        <v>8.1745536310382602E-2</v>
      </c>
      <c r="AC171" s="36">
        <f t="shared" si="48"/>
        <v>8.1928171595247512E-2</v>
      </c>
      <c r="AD171" s="36">
        <f t="shared" si="48"/>
        <v>8.2101187845285528E-2</v>
      </c>
      <c r="AE171" s="36">
        <f t="shared" si="48"/>
        <v>8.2264737996564863E-2</v>
      </c>
      <c r="AF171" s="36">
        <f t="shared" si="48"/>
        <v>8.2418977983014258E-2</v>
      </c>
      <c r="AG171" s="36">
        <f t="shared" si="48"/>
        <v>8.2564066388450388E-2</v>
      </c>
      <c r="AH171" s="36">
        <f t="shared" si="48"/>
        <v>8.2700164101719875E-2</v>
      </c>
      <c r="AI171" s="36">
        <f t="shared" si="48"/>
        <v>8.2827433976018675E-2</v>
      </c>
      <c r="AJ171" s="36">
        <f t="shared" si="48"/>
        <v>8.2946040493414655E-2</v>
      </c>
      <c r="AK171" s="36">
        <f t="shared" si="48"/>
        <v>8.3099930418712942E-2</v>
      </c>
      <c r="AL171" s="36">
        <f t="shared" si="48"/>
        <v>8.3678194028291325E-2</v>
      </c>
      <c r="AM171" s="36">
        <f t="shared" si="48"/>
        <v>8.4294414099841286E-2</v>
      </c>
      <c r="AN171" s="35"/>
      <c r="AO171" s="88">
        <f>ROW()</f>
        <v>171</v>
      </c>
    </row>
    <row r="172" spans="1:41" s="32" customFormat="1" ht="15" customHeight="1">
      <c r="B172" s="32" t="s">
        <v>739</v>
      </c>
      <c r="H172" s="33"/>
      <c r="M172" s="136"/>
      <c r="N172" s="136"/>
      <c r="O172" s="136"/>
      <c r="P172" s="136"/>
      <c r="Q172" s="36">
        <f t="shared" ref="Q172:AM172" si="49">Q144/Q$138</f>
        <v>0.11882347095420112</v>
      </c>
      <c r="R172" s="36">
        <f t="shared" si="49"/>
        <v>0.12033843075025549</v>
      </c>
      <c r="S172" s="36">
        <f t="shared" si="49"/>
        <v>0.12185991989877627</v>
      </c>
      <c r="T172" s="36">
        <f t="shared" si="49"/>
        <v>0.12338753604777236</v>
      </c>
      <c r="U172" s="36">
        <f t="shared" si="49"/>
        <v>0.12492087270084508</v>
      </c>
      <c r="V172" s="36">
        <f t="shared" si="49"/>
        <v>0.12645951982096579</v>
      </c>
      <c r="W172" s="36">
        <f t="shared" si="49"/>
        <v>0.12800306443412035</v>
      </c>
      <c r="X172" s="36">
        <f t="shared" si="49"/>
        <v>0.12955109123109587</v>
      </c>
      <c r="Y172" s="36">
        <f t="shared" si="49"/>
        <v>0.13110318316575767</v>
      </c>
      <c r="Z172" s="36">
        <f t="shared" si="49"/>
        <v>0.13265892204824348</v>
      </c>
      <c r="AA172" s="36">
        <f t="shared" si="49"/>
        <v>0.13427023657667209</v>
      </c>
      <c r="AB172" s="36">
        <f t="shared" si="49"/>
        <v>0.13586934870345968</v>
      </c>
      <c r="AC172" s="36">
        <f t="shared" si="49"/>
        <v>0.13745589332479904</v>
      </c>
      <c r="AD172" s="36">
        <f t="shared" si="49"/>
        <v>0.13902903086430687</v>
      </c>
      <c r="AE172" s="36">
        <f t="shared" si="49"/>
        <v>0.14058794056540302</v>
      </c>
      <c r="AF172" s="36">
        <f t="shared" si="49"/>
        <v>0.14213182207576092</v>
      </c>
      <c r="AG172" s="36">
        <f t="shared" si="49"/>
        <v>0.14365989696906345</v>
      </c>
      <c r="AH172" s="36">
        <f t="shared" si="49"/>
        <v>0.14517141019935612</v>
      </c>
      <c r="AI172" s="36">
        <f t="shared" si="49"/>
        <v>0.14666563148366901</v>
      </c>
      <c r="AJ172" s="36">
        <f t="shared" si="49"/>
        <v>0.14814185660899576</v>
      </c>
      <c r="AK172" s="36">
        <f t="shared" si="49"/>
        <v>0.14956914731945503</v>
      </c>
      <c r="AL172" s="36">
        <f t="shared" si="49"/>
        <v>0.15010715385320256</v>
      </c>
      <c r="AM172" s="36">
        <f t="shared" si="49"/>
        <v>0.1505431468795059</v>
      </c>
      <c r="AN172" s="35"/>
      <c r="AO172" s="88">
        <f>ROW()</f>
        <v>172</v>
      </c>
    </row>
    <row r="173" spans="1:41" s="32" customFormat="1" ht="15" customHeight="1">
      <c r="H173" s="33"/>
      <c r="M173" s="136"/>
      <c r="O173" s="136"/>
      <c r="P173" s="136"/>
      <c r="Q173" s="36"/>
      <c r="R173" s="35"/>
      <c r="S173" s="35"/>
      <c r="T173" s="35"/>
      <c r="U173" s="35"/>
      <c r="V173" s="35"/>
      <c r="W173" s="35"/>
      <c r="X173" s="35"/>
      <c r="Y173" s="35"/>
      <c r="Z173" s="35"/>
      <c r="AA173" s="35"/>
      <c r="AB173" s="35"/>
      <c r="AC173" s="35"/>
      <c r="AD173" s="35"/>
      <c r="AE173" s="35"/>
      <c r="AF173" s="35"/>
      <c r="AG173" s="35"/>
      <c r="AH173" s="35"/>
      <c r="AI173" s="35"/>
      <c r="AJ173" s="35"/>
      <c r="AK173" s="35"/>
      <c r="AL173" s="35"/>
      <c r="AM173" s="35"/>
      <c r="AN173" s="35"/>
      <c r="AO173" s="88">
        <f>ROW()</f>
        <v>173</v>
      </c>
    </row>
    <row r="174" spans="1:41" s="32" customFormat="1" ht="15" customHeight="1">
      <c r="B174" s="1" t="s">
        <v>770</v>
      </c>
      <c r="C174"/>
      <c r="D174" s="126"/>
      <c r="E174" s="535"/>
      <c r="F174" s="123"/>
      <c r="G174" s="123"/>
      <c r="H174" s="536" t="s">
        <v>772</v>
      </c>
      <c r="I174" s="537" t="s">
        <v>458</v>
      </c>
      <c r="O174" s="525" t="s">
        <v>771</v>
      </c>
      <c r="P174" s="525" t="s">
        <v>748</v>
      </c>
      <c r="Q174">
        <f>Q$94</f>
        <v>1</v>
      </c>
      <c r="R174">
        <f t="shared" ref="R174:AM174" si="50">R$94</f>
        <v>2</v>
      </c>
      <c r="S174">
        <f t="shared" si="50"/>
        <v>3</v>
      </c>
      <c r="T174">
        <f t="shared" si="50"/>
        <v>4</v>
      </c>
      <c r="U174">
        <f t="shared" si="50"/>
        <v>5</v>
      </c>
      <c r="V174">
        <f t="shared" si="50"/>
        <v>6</v>
      </c>
      <c r="W174">
        <f t="shared" si="50"/>
        <v>7</v>
      </c>
      <c r="X174">
        <f t="shared" si="50"/>
        <v>8</v>
      </c>
      <c r="Y174">
        <f t="shared" si="50"/>
        <v>9</v>
      </c>
      <c r="Z174">
        <f t="shared" si="50"/>
        <v>10</v>
      </c>
      <c r="AA174">
        <f t="shared" si="50"/>
        <v>11</v>
      </c>
      <c r="AB174">
        <f t="shared" si="50"/>
        <v>12</v>
      </c>
      <c r="AC174">
        <f t="shared" si="50"/>
        <v>13</v>
      </c>
      <c r="AD174">
        <f t="shared" si="50"/>
        <v>14</v>
      </c>
      <c r="AE174">
        <f t="shared" si="50"/>
        <v>15</v>
      </c>
      <c r="AF174">
        <f t="shared" si="50"/>
        <v>16</v>
      </c>
      <c r="AG174">
        <f t="shared" si="50"/>
        <v>17</v>
      </c>
      <c r="AH174">
        <f t="shared" si="50"/>
        <v>18</v>
      </c>
      <c r="AI174">
        <f t="shared" si="50"/>
        <v>19</v>
      </c>
      <c r="AJ174">
        <f t="shared" si="50"/>
        <v>20</v>
      </c>
      <c r="AK174">
        <f t="shared" si="50"/>
        <v>21</v>
      </c>
      <c r="AL174">
        <f t="shared" si="50"/>
        <v>22</v>
      </c>
      <c r="AM174">
        <f t="shared" si="50"/>
        <v>23</v>
      </c>
      <c r="AN174"/>
      <c r="AO174" s="88">
        <f>ROW()</f>
        <v>174</v>
      </c>
    </row>
    <row r="175" spans="1:41" s="32" customFormat="1" ht="15" customHeight="1">
      <c r="A175"/>
      <c r="B175"/>
      <c r="C175"/>
      <c r="D175"/>
      <c r="E175"/>
      <c r="F175"/>
      <c r="G175"/>
      <c r="H175"/>
      <c r="I175"/>
      <c r="J175"/>
      <c r="K175"/>
      <c r="L175"/>
      <c r="M175" s="71"/>
      <c r="N175" s="71"/>
      <c r="O175" s="71"/>
      <c r="P175" s="71"/>
      <c r="Q175"/>
      <c r="R175"/>
      <c r="S175"/>
      <c r="T175"/>
      <c r="U175"/>
      <c r="V175"/>
      <c r="W175"/>
      <c r="X175"/>
      <c r="Y175"/>
      <c r="Z175"/>
      <c r="AA175"/>
      <c r="AB175"/>
      <c r="AC175"/>
      <c r="AD175"/>
      <c r="AE175"/>
      <c r="AF175"/>
      <c r="AG175"/>
      <c r="AH175"/>
      <c r="AI175"/>
      <c r="AJ175"/>
      <c r="AK175"/>
      <c r="AL175"/>
      <c r="AM175"/>
      <c r="AN175"/>
      <c r="AO175" s="88">
        <f>ROW()</f>
        <v>175</v>
      </c>
    </row>
    <row r="176" spans="1:41" s="32" customFormat="1" ht="15" customHeight="1">
      <c r="A176"/>
      <c r="B176" s="8" t="s">
        <v>359</v>
      </c>
      <c r="C176"/>
      <c r="D176"/>
      <c r="E176"/>
      <c r="F176"/>
      <c r="G176"/>
      <c r="H176"/>
      <c r="I176" s="236">
        <f>I$116</f>
        <v>2005</v>
      </c>
      <c r="J176" s="236">
        <f t="shared" ref="J176:AM176" si="51">J$116</f>
        <v>2006</v>
      </c>
      <c r="K176" s="236">
        <f t="shared" si="51"/>
        <v>2007</v>
      </c>
      <c r="L176" s="236">
        <f t="shared" si="51"/>
        <v>2008</v>
      </c>
      <c r="M176" s="236">
        <f t="shared" si="51"/>
        <v>2009</v>
      </c>
      <c r="N176" s="236">
        <f t="shared" si="51"/>
        <v>2010</v>
      </c>
      <c r="O176" s="236">
        <f t="shared" si="51"/>
        <v>2011</v>
      </c>
      <c r="P176" s="236">
        <f t="shared" si="51"/>
        <v>2012</v>
      </c>
      <c r="Q176" s="236">
        <f t="shared" si="51"/>
        <v>2015</v>
      </c>
      <c r="R176" s="236">
        <f t="shared" si="51"/>
        <v>2016</v>
      </c>
      <c r="S176" s="236">
        <f t="shared" si="51"/>
        <v>2017</v>
      </c>
      <c r="T176" s="236">
        <f t="shared" si="51"/>
        <v>2018</v>
      </c>
      <c r="U176" s="236">
        <f t="shared" si="51"/>
        <v>2019</v>
      </c>
      <c r="V176" s="236">
        <f t="shared" si="51"/>
        <v>2020</v>
      </c>
      <c r="W176" s="236">
        <f t="shared" si="51"/>
        <v>2021</v>
      </c>
      <c r="X176" s="236">
        <f t="shared" si="51"/>
        <v>2022</v>
      </c>
      <c r="Y176" s="236">
        <f t="shared" si="51"/>
        <v>2023</v>
      </c>
      <c r="Z176" s="236">
        <f t="shared" si="51"/>
        <v>2024</v>
      </c>
      <c r="AA176" s="236">
        <f t="shared" si="51"/>
        <v>2025</v>
      </c>
      <c r="AB176" s="236">
        <f t="shared" si="51"/>
        <v>2026</v>
      </c>
      <c r="AC176" s="236">
        <f t="shared" si="51"/>
        <v>2027</v>
      </c>
      <c r="AD176" s="236">
        <f t="shared" si="51"/>
        <v>2028</v>
      </c>
      <c r="AE176" s="236">
        <f t="shared" si="51"/>
        <v>2029</v>
      </c>
      <c r="AF176" s="236">
        <f t="shared" si="51"/>
        <v>2030</v>
      </c>
      <c r="AG176" s="236">
        <f t="shared" si="51"/>
        <v>2031</v>
      </c>
      <c r="AH176" s="236">
        <f t="shared" si="51"/>
        <v>2032</v>
      </c>
      <c r="AI176" s="236">
        <f t="shared" si="51"/>
        <v>2033</v>
      </c>
      <c r="AJ176" s="236">
        <f t="shared" si="51"/>
        <v>2034</v>
      </c>
      <c r="AK176" s="236">
        <f t="shared" si="51"/>
        <v>2035</v>
      </c>
      <c r="AL176" s="236">
        <f t="shared" si="51"/>
        <v>2036</v>
      </c>
      <c r="AM176" s="236">
        <f t="shared" si="51"/>
        <v>2037</v>
      </c>
      <c r="AN176"/>
      <c r="AO176" s="88">
        <f>ROW()</f>
        <v>176</v>
      </c>
    </row>
    <row r="177" spans="1:41" s="32" customFormat="1" ht="15" customHeight="1">
      <c r="A177"/>
      <c r="B177"/>
      <c r="C177"/>
      <c r="D177"/>
      <c r="E177"/>
      <c r="F177"/>
      <c r="G177"/>
      <c r="H177"/>
      <c r="I177"/>
      <c r="J177"/>
      <c r="K177"/>
      <c r="L177"/>
      <c r="M177" s="71"/>
      <c r="N177" s="71"/>
      <c r="O177" s="71"/>
      <c r="P177" s="71"/>
      <c r="Q177"/>
      <c r="R177"/>
      <c r="S177"/>
      <c r="T177"/>
      <c r="U177"/>
      <c r="V177"/>
      <c r="W177"/>
      <c r="X177"/>
      <c r="Y177"/>
      <c r="Z177"/>
      <c r="AA177"/>
      <c r="AB177"/>
      <c r="AC177"/>
      <c r="AD177"/>
      <c r="AE177"/>
      <c r="AF177"/>
      <c r="AG177"/>
      <c r="AH177"/>
      <c r="AI177"/>
      <c r="AJ177"/>
      <c r="AK177"/>
      <c r="AL177"/>
      <c r="AM177"/>
      <c r="AN177"/>
      <c r="AO177" s="88">
        <f>ROW()</f>
        <v>177</v>
      </c>
    </row>
    <row r="178" spans="1:41" s="32" customFormat="1" ht="15" customHeight="1">
      <c r="A178"/>
      <c r="B178" s="8" t="s">
        <v>357</v>
      </c>
      <c r="C178"/>
      <c r="D178"/>
      <c r="E178"/>
      <c r="F178"/>
      <c r="G178"/>
      <c r="H178"/>
      <c r="I178" s="25">
        <f>SUM(I179:I184)</f>
        <v>21016.468289499317</v>
      </c>
      <c r="J178" s="25">
        <f t="shared" ref="J178:AM178" si="52">SUM(J179:J184)</f>
        <v>21308.768334321547</v>
      </c>
      <c r="K178" s="25">
        <f t="shared" si="52"/>
        <v>20957.812013670442</v>
      </c>
      <c r="L178" s="25">
        <f t="shared" si="52"/>
        <v>20118.592840936548</v>
      </c>
      <c r="M178" s="25">
        <f t="shared" si="52"/>
        <v>19476.656921272483</v>
      </c>
      <c r="N178" s="25">
        <f t="shared" si="52"/>
        <v>19798.727094632573</v>
      </c>
      <c r="O178" s="25">
        <f t="shared" si="52"/>
        <v>19585.93374902815</v>
      </c>
      <c r="P178" s="25">
        <f t="shared" si="52"/>
        <v>18799.024825343098</v>
      </c>
      <c r="Q178" s="25">
        <f t="shared" si="52"/>
        <v>18759.216711484631</v>
      </c>
      <c r="R178" s="25">
        <f t="shared" si="52"/>
        <v>18892.781671410849</v>
      </c>
      <c r="S178" s="25">
        <f t="shared" si="52"/>
        <v>19027.4564080419</v>
      </c>
      <c r="T178" s="25">
        <f t="shared" si="52"/>
        <v>19163.277696704223</v>
      </c>
      <c r="U178" s="25">
        <f t="shared" si="52"/>
        <v>19300.283047102261</v>
      </c>
      <c r="V178" s="25">
        <f t="shared" si="52"/>
        <v>19438.510712908093</v>
      </c>
      <c r="W178" s="25">
        <f t="shared" si="52"/>
        <v>19577.999702318753</v>
      </c>
      <c r="X178" s="25">
        <f t="shared" si="52"/>
        <v>19718.789789584654</v>
      </c>
      <c r="Y178" s="25">
        <f t="shared" si="52"/>
        <v>19860.921527511782</v>
      </c>
      <c r="Z178" s="25">
        <f t="shared" si="52"/>
        <v>20004.436260939729</v>
      </c>
      <c r="AA178" s="25">
        <f t="shared" si="52"/>
        <v>20122.212338314115</v>
      </c>
      <c r="AB178" s="25">
        <f t="shared" si="52"/>
        <v>20240.206393611992</v>
      </c>
      <c r="AC178" s="25">
        <f t="shared" si="52"/>
        <v>20359.313255376463</v>
      </c>
      <c r="AD178" s="25">
        <f t="shared" si="52"/>
        <v>20479.570160376054</v>
      </c>
      <c r="AE178" s="25">
        <f t="shared" si="52"/>
        <v>20601.014928002976</v>
      </c>
      <c r="AF178" s="25">
        <f t="shared" si="52"/>
        <v>20723.685972523599</v>
      </c>
      <c r="AG178" s="25">
        <f t="shared" si="52"/>
        <v>20847.622316114997</v>
      </c>
      <c r="AH178" s="25">
        <f t="shared" si="52"/>
        <v>20972.863602679165</v>
      </c>
      <c r="AI178" s="25">
        <f t="shared" si="52"/>
        <v>21099.450112426683</v>
      </c>
      <c r="AJ178" s="25">
        <f t="shared" si="52"/>
        <v>21227.42277722228</v>
      </c>
      <c r="AK178" s="25">
        <f t="shared" si="52"/>
        <v>21371.892790629994</v>
      </c>
      <c r="AL178" s="25">
        <f t="shared" si="52"/>
        <v>21517.555696191743</v>
      </c>
      <c r="AM178" s="25">
        <f t="shared" si="52"/>
        <v>21679.180659584574</v>
      </c>
      <c r="AN178"/>
      <c r="AO178" s="88">
        <f>ROW()</f>
        <v>178</v>
      </c>
    </row>
    <row r="179" spans="1:41" s="32" customFormat="1" ht="15" customHeight="1">
      <c r="A179"/>
      <c r="B179" s="32" t="s">
        <v>4</v>
      </c>
      <c r="C179"/>
      <c r="D179"/>
      <c r="E179"/>
      <c r="F179"/>
      <c r="G179"/>
      <c r="H179"/>
      <c r="I179" s="22">
        <f>Graph_Oil!I51</f>
        <v>622.22090695600014</v>
      </c>
      <c r="J179" s="22">
        <f>Graph_Oil!J51</f>
        <v>326.6572203888029</v>
      </c>
      <c r="K179" s="22">
        <f>Graph_Oil!K51</f>
        <v>334.66280077114277</v>
      </c>
      <c r="L179" s="22">
        <f>Graph_Oil!L51</f>
        <v>235.41105319424432</v>
      </c>
      <c r="M179" s="22">
        <f>Graph_Oil!M51</f>
        <v>198.21730666648958</v>
      </c>
      <c r="N179" s="22">
        <f>Graph_Oil!N51</f>
        <v>188.66953499027218</v>
      </c>
      <c r="O179" s="22">
        <f>Graph_Oil!O51</f>
        <v>143.36624413176713</v>
      </c>
      <c r="P179" s="22">
        <f>Graph_Oil!P51</f>
        <v>116.57786240280477</v>
      </c>
      <c r="Q179" s="22">
        <f>Graph_Oil!Q51</f>
        <v>117.10044181743137</v>
      </c>
      <c r="R179" s="22">
        <f>Graph_Oil!R51</f>
        <v>117.12750245892938</v>
      </c>
      <c r="S179" s="22">
        <f>Graph_Oil!S51</f>
        <v>117.154569353848</v>
      </c>
      <c r="T179" s="22">
        <f>Graph_Oil!T51</f>
        <v>117.18164250363236</v>
      </c>
      <c r="U179" s="22">
        <f>Graph_Oil!U51</f>
        <v>117.20872190972787</v>
      </c>
      <c r="V179" s="22">
        <f>Graph_Oil!V51</f>
        <v>117.2358075735803</v>
      </c>
      <c r="W179" s="22">
        <f>Graph_Oil!W51</f>
        <v>117.26289949663574</v>
      </c>
      <c r="X179" s="22">
        <f>Graph_Oil!X51</f>
        <v>117.28999768034065</v>
      </c>
      <c r="Y179" s="22">
        <f>Graph_Oil!Y51</f>
        <v>117.3171021261418</v>
      </c>
      <c r="Z179" s="22">
        <f>Graph_Oil!Z51</f>
        <v>117.34421283548625</v>
      </c>
      <c r="AA179" s="22">
        <f>Graph_Oil!AA51</f>
        <v>117.37132980982148</v>
      </c>
      <c r="AB179" s="22">
        <f>Graph_Oil!AB51</f>
        <v>116.54612668005112</v>
      </c>
      <c r="AC179" s="22">
        <f>Graph_Oil!AC51</f>
        <v>115.72672530959018</v>
      </c>
      <c r="AD179" s="22">
        <f>Graph_Oil!AD51</f>
        <v>114.91308490798373</v>
      </c>
      <c r="AE179" s="22">
        <f>Graph_Oil!AE51</f>
        <v>114.1051649715624</v>
      </c>
      <c r="AF179" s="22">
        <f>Graph_Oil!AF51</f>
        <v>113.30292528142627</v>
      </c>
      <c r="AG179" s="22">
        <f>Graph_Oil!AG51</f>
        <v>112.50632590144257</v>
      </c>
      <c r="AH179" s="22">
        <f>Graph_Oil!AH51</f>
        <v>111.71532717625756</v>
      </c>
      <c r="AI179" s="22">
        <f>Graph_Oil!AI51</f>
        <v>110.92988972932275</v>
      </c>
      <c r="AJ179" s="22">
        <f>Graph_Oil!AJ51</f>
        <v>110.14997446093446</v>
      </c>
      <c r="AK179" s="22">
        <f>Graph_Oil!AK51</f>
        <v>109.37554254628743</v>
      </c>
      <c r="AL179" s="22">
        <f>Graph_Oil!AL51</f>
        <v>108.10722037675954</v>
      </c>
      <c r="AM179" s="22">
        <f>Graph_Oil!AM51</f>
        <v>106.85360571028276</v>
      </c>
      <c r="AN179"/>
      <c r="AO179" s="88">
        <f>ROW()</f>
        <v>179</v>
      </c>
    </row>
    <row r="180" spans="1:41" s="32" customFormat="1" ht="15" customHeight="1">
      <c r="A180"/>
      <c r="B180" s="32" t="s">
        <v>222</v>
      </c>
      <c r="C180"/>
      <c r="D180"/>
      <c r="E180"/>
      <c r="F180"/>
      <c r="G180"/>
      <c r="H180"/>
      <c r="I180" s="22">
        <f>Graph_Oil!I52</f>
        <v>9159.2639999999992</v>
      </c>
      <c r="J180" s="22">
        <f>Graph_Oil!J52</f>
        <v>9232.6610000000001</v>
      </c>
      <c r="K180" s="22">
        <f>Graph_Oil!K52</f>
        <v>9290.3490000000002</v>
      </c>
      <c r="L180" s="22">
        <f>Graph_Oil!L52</f>
        <v>8989.2279999999992</v>
      </c>
      <c r="M180" s="22">
        <f>Graph_Oil!M52</f>
        <v>8986.1110000000008</v>
      </c>
      <c r="N180" s="22">
        <f>Graph_Oil!N52</f>
        <v>9034.3259999999991</v>
      </c>
      <c r="O180" s="22">
        <f>Graph_Oil!O52</f>
        <v>8736.1880000000001</v>
      </c>
      <c r="P180" s="22">
        <f>Graph_Oil!P52</f>
        <v>8703.0380000000005</v>
      </c>
      <c r="Q180" s="22">
        <f>Graph_Oil!Q52</f>
        <v>8450.1711570337247</v>
      </c>
      <c r="R180" s="22">
        <f>Graph_Oil!R52</f>
        <v>8511.6457163304458</v>
      </c>
      <c r="S180" s="22">
        <f>Graph_Oil!S52</f>
        <v>8573.5669270064736</v>
      </c>
      <c r="T180" s="22">
        <f>Graph_Oil!T52</f>
        <v>8635.9380307526189</v>
      </c>
      <c r="U180" s="22">
        <f>Graph_Oil!U52</f>
        <v>8698.7622927656248</v>
      </c>
      <c r="V180" s="22">
        <f>Graph_Oil!V52</f>
        <v>8762.0430019184914</v>
      </c>
      <c r="W180" s="22">
        <f>Graph_Oil!W52</f>
        <v>8825.7834709320305</v>
      </c>
      <c r="X180" s="22">
        <f>Graph_Oil!X52</f>
        <v>8889.9870365476327</v>
      </c>
      <c r="Y180" s="22">
        <f>Graph_Oil!Y52</f>
        <v>8954.6570597013215</v>
      </c>
      <c r="Z180" s="22">
        <f>Graph_Oil!Z52</f>
        <v>9019.79692569906</v>
      </c>
      <c r="AA180" s="22">
        <f>Graph_Oil!AA52</f>
        <v>9074.0616222861026</v>
      </c>
      <c r="AB180" s="22">
        <f>Graph_Oil!AB52</f>
        <v>9128.6521811964631</v>
      </c>
      <c r="AC180" s="22">
        <f>Graph_Oil!AC52</f>
        <v>9183.5705563065094</v>
      </c>
      <c r="AD180" s="22">
        <f>Graph_Oil!AD52</f>
        <v>9238.8187131937975</v>
      </c>
      <c r="AE180" s="22">
        <f>Graph_Oil!AE52</f>
        <v>9294.3986292070604</v>
      </c>
      <c r="AF180" s="22">
        <f>Graph_Oil!AF52</f>
        <v>9350.3122935366409</v>
      </c>
      <c r="AG180" s="22">
        <f>Graph_Oil!AG52</f>
        <v>9406.5617072853292</v>
      </c>
      <c r="AH180" s="22">
        <f>Graph_Oil!AH52</f>
        <v>9463.1488835396449</v>
      </c>
      <c r="AI180" s="22">
        <f>Graph_Oil!AI52</f>
        <v>9520.0758474415161</v>
      </c>
      <c r="AJ180" s="22">
        <f>Graph_Oil!AJ52</f>
        <v>9577.3446362604045</v>
      </c>
      <c r="AK180" s="22">
        <f>Graph_Oil!AK52</f>
        <v>9641.2052534883933</v>
      </c>
      <c r="AL180" s="22">
        <f>Graph_Oil!AL52</f>
        <v>9705.4910513153063</v>
      </c>
      <c r="AM180" s="22">
        <f>Graph_Oil!AM52</f>
        <v>9776.0844362922417</v>
      </c>
      <c r="AN180"/>
      <c r="AO180" s="88">
        <f>ROW()</f>
        <v>180</v>
      </c>
    </row>
    <row r="181" spans="1:41" s="32" customFormat="1" ht="15" customHeight="1">
      <c r="A181"/>
      <c r="B181" s="32" t="s">
        <v>164</v>
      </c>
      <c r="C181"/>
      <c r="D181"/>
      <c r="E181"/>
      <c r="F181"/>
      <c r="G181"/>
      <c r="H181"/>
      <c r="I181" s="22">
        <f>Graph_Oil!I53</f>
        <v>3294.4080000000004</v>
      </c>
      <c r="J181" s="22">
        <f>Graph_Oil!J53</f>
        <v>3335.2960000000003</v>
      </c>
      <c r="K181" s="22">
        <f>Graph_Oil!K53</f>
        <v>3356.7280000000001</v>
      </c>
      <c r="L181" s="22">
        <f>Graph_Oil!L53</f>
        <v>3156.328</v>
      </c>
      <c r="M181" s="22">
        <f>Graph_Oil!M53</f>
        <v>2904.864</v>
      </c>
      <c r="N181" s="22">
        <f>Graph_Oil!N53</f>
        <v>3040.248</v>
      </c>
      <c r="O181" s="22">
        <f>Graph_Oil!O53</f>
        <v>3119.08</v>
      </c>
      <c r="P181" s="22">
        <f>Graph_Oil!P53</f>
        <v>2994.1743999999999</v>
      </c>
      <c r="Q181" s="22">
        <f>Graph_Oil!Q53</f>
        <v>3028.803710286445</v>
      </c>
      <c r="R181" s="22">
        <f>Graph_Oil!R53</f>
        <v>3040.0997262706351</v>
      </c>
      <c r="S181" s="22">
        <f>Graph_Oil!S53</f>
        <v>3051.2756125461533</v>
      </c>
      <c r="T181" s="22">
        <f>Graph_Oil!T53</f>
        <v>3062.333445442081</v>
      </c>
      <c r="U181" s="22">
        <f>Graph_Oil!U53</f>
        <v>3073.2753154411789</v>
      </c>
      <c r="V181" s="22">
        <f>Graph_Oil!V53</f>
        <v>3084.1033241694331</v>
      </c>
      <c r="W181" s="22">
        <f>Graph_Oil!W53</f>
        <v>3094.819581517173</v>
      </c>
      <c r="X181" s="22">
        <f>Graph_Oil!X53</f>
        <v>3105.426202891193</v>
      </c>
      <c r="Y181" s="22">
        <f>Graph_Oil!Y53</f>
        <v>3115.9253065969233</v>
      </c>
      <c r="Z181" s="22">
        <f>Graph_Oil!Z53</f>
        <v>3126.3190113493511</v>
      </c>
      <c r="AA181" s="22">
        <f>Graph_Oil!AA53</f>
        <v>3132.691551540564</v>
      </c>
      <c r="AB181" s="22">
        <f>Graph_Oil!AB53</f>
        <v>3138.9423773432131</v>
      </c>
      <c r="AC181" s="22">
        <f>Graph_Oil!AC53</f>
        <v>3145.0740073183356</v>
      </c>
      <c r="AD181" s="22">
        <f>Graph_Oil!AD53</f>
        <v>3151.0889402704593</v>
      </c>
      <c r="AE181" s="22">
        <f>Graph_Oil!AE53</f>
        <v>3156.989653470202</v>
      </c>
      <c r="AF181" s="22">
        <f>Graph_Oil!AF53</f>
        <v>3162.7786010047375</v>
      </c>
      <c r="AG181" s="22">
        <f>Graph_Oil!AG53</f>
        <v>3168.4582122521124</v>
      </c>
      <c r="AH181" s="22">
        <f>Graph_Oil!AH53</f>
        <v>3174.0308904753006</v>
      </c>
      <c r="AI181" s="22">
        <f>Graph_Oil!AI53</f>
        <v>3179.4990115317946</v>
      </c>
      <c r="AJ181" s="22">
        <f>Graph_Oil!AJ53</f>
        <v>3184.8649226944954</v>
      </c>
      <c r="AK181" s="22">
        <f>Graph_Oil!AK53</f>
        <v>3192.1996369385511</v>
      </c>
      <c r="AL181" s="22">
        <f>Graph_Oil!AL53</f>
        <v>3199.4447926434091</v>
      </c>
      <c r="AM181" s="22">
        <f>Graph_Oil!AM53</f>
        <v>3208.5321577615314</v>
      </c>
      <c r="AN181"/>
      <c r="AO181" s="88">
        <f>ROW()</f>
        <v>181</v>
      </c>
    </row>
    <row r="182" spans="1:41" s="32" customFormat="1" ht="15" customHeight="1">
      <c r="A182"/>
      <c r="B182" s="32" t="s">
        <v>18</v>
      </c>
      <c r="C182"/>
      <c r="D182"/>
      <c r="E182"/>
      <c r="F182"/>
      <c r="G182"/>
      <c r="H182"/>
      <c r="I182" s="22">
        <f>Graph_Oil!I54</f>
        <v>1698.1849999999999</v>
      </c>
      <c r="J182" s="22">
        <f>Graph_Oil!J54</f>
        <v>1651.0500000000002</v>
      </c>
      <c r="K182" s="22">
        <f>Graph_Oil!K54</f>
        <v>1639.5309999999999</v>
      </c>
      <c r="L182" s="22">
        <f>Graph_Oil!L54</f>
        <v>1553.8630000000001</v>
      </c>
      <c r="M182" s="22">
        <f>Graph_Oil!M54</f>
        <v>1407.6000000000001</v>
      </c>
      <c r="N182" s="22">
        <f>Graph_Oil!N54</f>
        <v>1445.4229999999998</v>
      </c>
      <c r="O182" s="22">
        <f>Graph_Oil!O54</f>
        <v>1440.02</v>
      </c>
      <c r="P182" s="22">
        <f>Graph_Oil!P54</f>
        <v>1413.06</v>
      </c>
      <c r="Q182" s="22">
        <f>Graph_Oil!Q54</f>
        <v>1526.364089152941</v>
      </c>
      <c r="R182" s="22">
        <f>Graph_Oil!R54</f>
        <v>1566.1162126802894</v>
      </c>
      <c r="S182" s="22">
        <f>Graph_Oil!S54</f>
        <v>1606.903627417752</v>
      </c>
      <c r="T182" s="22">
        <f>Graph_Oil!T54</f>
        <v>1648.753296148562</v>
      </c>
      <c r="U182" s="22">
        <f>Graph_Oil!U54</f>
        <v>1691.6928838657975</v>
      </c>
      <c r="V182" s="22">
        <f>Graph_Oil!V54</f>
        <v>1735.7507760605031</v>
      </c>
      <c r="W182" s="22">
        <f>Graph_Oil!W54</f>
        <v>1780.9560974861006</v>
      </c>
      <c r="X182" s="22">
        <f>Graph_Oil!X54</f>
        <v>1827.3387314114971</v>
      </c>
      <c r="Y182" s="22">
        <f>Graph_Oil!Y54</f>
        <v>1874.9293393756104</v>
      </c>
      <c r="Z182" s="22">
        <f>Graph_Oil!Z54</f>
        <v>1923.7593814563775</v>
      </c>
      <c r="AA182" s="22">
        <f>Graph_Oil!AA54</f>
        <v>1970.1640205577244</v>
      </c>
      <c r="AB182" s="22">
        <f>Graph_Oil!AB54</f>
        <v>2017.6880254960279</v>
      </c>
      <c r="AC182" s="22">
        <f>Graph_Oil!AC54</f>
        <v>2066.3583974483504</v>
      </c>
      <c r="AD182" s="22">
        <f>Graph_Oil!AD54</f>
        <v>2116.2027889101541</v>
      </c>
      <c r="AE182" s="22">
        <f>Graph_Oil!AE54</f>
        <v>2167.2495194063017</v>
      </c>
      <c r="AF182" s="22">
        <f>Graph_Oil!AF54</f>
        <v>2219.5275915810457</v>
      </c>
      <c r="AG182" s="22">
        <f>Graph_Oil!AG54</f>
        <v>2273.0667076761297</v>
      </c>
      <c r="AH182" s="22">
        <f>Graph_Oil!AH54</f>
        <v>2327.897286406378</v>
      </c>
      <c r="AI182" s="22">
        <f>Graph_Oil!AI54</f>
        <v>2384.050480242352</v>
      </c>
      <c r="AJ182" s="22">
        <f>Graph_Oil!AJ54</f>
        <v>2441.5581931098973</v>
      </c>
      <c r="AK182" s="22">
        <f>Graph_Oil!AK54</f>
        <v>2502.8856855962422</v>
      </c>
      <c r="AL182" s="22">
        <f>Graph_Oil!AL54</f>
        <v>2565.7536129349191</v>
      </c>
      <c r="AM182" s="22">
        <f>Graph_Oil!AM54</f>
        <v>2632.575254826882</v>
      </c>
      <c r="AN182"/>
      <c r="AO182" s="88">
        <f>ROW()</f>
        <v>182</v>
      </c>
    </row>
    <row r="183" spans="1:41" s="32" customFormat="1" ht="15" customHeight="1">
      <c r="A183"/>
      <c r="B183" s="32" t="s">
        <v>740</v>
      </c>
      <c r="C183"/>
      <c r="D183"/>
      <c r="E183"/>
      <c r="F183"/>
      <c r="G183"/>
      <c r="H183"/>
      <c r="I183" s="22">
        <f>Graph_Oil!I55</f>
        <v>6242.3903825433181</v>
      </c>
      <c r="J183" s="22">
        <f>Graph_Oil!J55</f>
        <v>6763.1041139327444</v>
      </c>
      <c r="K183" s="22">
        <f>Graph_Oil!K55</f>
        <v>6336.5412128993003</v>
      </c>
      <c r="L183" s="22">
        <f>Graph_Oil!L55</f>
        <v>6183.7627877423047</v>
      </c>
      <c r="M183" s="22">
        <f>Graph_Oil!M55</f>
        <v>5979.8646146059937</v>
      </c>
      <c r="N183" s="22">
        <f>Graph_Oil!N55</f>
        <v>6090.0605596423029</v>
      </c>
      <c r="O183" s="22">
        <f>Graph_Oil!O55</f>
        <v>6147.2795048963835</v>
      </c>
      <c r="P183" s="22">
        <f>Graph_Oil!P55</f>
        <v>5572.174562940294</v>
      </c>
      <c r="Q183" s="22">
        <f>Graph_Oil!Q55</f>
        <v>5636.7773131940867</v>
      </c>
      <c r="R183" s="22">
        <f>Graph_Oil!R55</f>
        <v>5657.7925136705471</v>
      </c>
      <c r="S183" s="22">
        <f>Graph_Oil!S55</f>
        <v>5678.5556717176742</v>
      </c>
      <c r="T183" s="22">
        <f>Graph_Oil!T55</f>
        <v>5699.0712818573265</v>
      </c>
      <c r="U183" s="22">
        <f>Graph_Oil!U55</f>
        <v>5719.3438331199313</v>
      </c>
      <c r="V183" s="22">
        <f>Graph_Oil!V55</f>
        <v>5739.3778031860875</v>
      </c>
      <c r="W183" s="22">
        <f>Graph_Oil!W55</f>
        <v>5759.1776528868158</v>
      </c>
      <c r="X183" s="22">
        <f>Graph_Oil!X55</f>
        <v>5778.7478210539921</v>
      </c>
      <c r="Y183" s="22">
        <f>Graph_Oil!Y55</f>
        <v>5798.0927197117853</v>
      </c>
      <c r="Z183" s="22">
        <f>Graph_Oil!Z55</f>
        <v>5817.2167295994541</v>
      </c>
      <c r="AA183" s="22">
        <f>Graph_Oil!AA55</f>
        <v>5827.9238141199039</v>
      </c>
      <c r="AB183" s="22">
        <f>Graph_Oil!AB55</f>
        <v>5838.3776828962364</v>
      </c>
      <c r="AC183" s="22">
        <f>Graph_Oil!AC55</f>
        <v>5848.5835689936775</v>
      </c>
      <c r="AD183" s="22">
        <f>Graph_Oil!AD55</f>
        <v>5858.5466330936588</v>
      </c>
      <c r="AE183" s="22">
        <f>Graph_Oil!AE55</f>
        <v>5868.2719609478499</v>
      </c>
      <c r="AF183" s="22">
        <f>Graph_Oil!AF55</f>
        <v>5877.7645611197495</v>
      </c>
      <c r="AG183" s="22">
        <f>Graph_Oil!AG55</f>
        <v>5887.0293629999869</v>
      </c>
      <c r="AH183" s="22">
        <f>Graph_Oil!AH55</f>
        <v>5896.0712150815843</v>
      </c>
      <c r="AI183" s="22">
        <f>Graph_Oil!AI55</f>
        <v>5904.8948834816993</v>
      </c>
      <c r="AJ183" s="22">
        <f>Graph_Oil!AJ55</f>
        <v>5913.5050506965499</v>
      </c>
      <c r="AK183" s="22">
        <f>Graph_Oil!AK55</f>
        <v>5926.2266720605212</v>
      </c>
      <c r="AL183" s="22">
        <f>Graph_Oil!AL55</f>
        <v>5938.7590189213488</v>
      </c>
      <c r="AM183" s="22">
        <f>Graph_Oil!AM55</f>
        <v>5955.1352049936368</v>
      </c>
      <c r="AN183"/>
      <c r="AO183" s="88">
        <f>ROW()</f>
        <v>183</v>
      </c>
    </row>
    <row r="184" spans="1:41" s="32" customFormat="1" ht="15" customHeight="1">
      <c r="A184"/>
      <c r="B184" s="32" t="s">
        <v>739</v>
      </c>
      <c r="C184"/>
      <c r="D184"/>
      <c r="E184"/>
      <c r="F184"/>
      <c r="G184"/>
      <c r="H184"/>
      <c r="I184" s="22">
        <f>Graph_Oil!I56</f>
        <v>0</v>
      </c>
      <c r="J184" s="22">
        <f>Graph_Oil!J56</f>
        <v>0</v>
      </c>
      <c r="K184" s="22">
        <f>Graph_Oil!K56</f>
        <v>0</v>
      </c>
      <c r="L184" s="22">
        <f>Graph_Oil!L56</f>
        <v>0</v>
      </c>
      <c r="M184" s="22">
        <f>Graph_Oil!M56</f>
        <v>0</v>
      </c>
      <c r="N184" s="22">
        <f>Graph_Oil!N56</f>
        <v>0</v>
      </c>
      <c r="O184" s="22">
        <f>Graph_Oil!O56</f>
        <v>0</v>
      </c>
      <c r="P184" s="22">
        <f>Graph_Oil!P56</f>
        <v>0</v>
      </c>
      <c r="Q184" s="22">
        <f>Graph_Oil!Q56</f>
        <v>0</v>
      </c>
      <c r="R184" s="22">
        <f>Graph_Oil!R56</f>
        <v>0</v>
      </c>
      <c r="S184" s="22">
        <f>Graph_Oil!S56</f>
        <v>0</v>
      </c>
      <c r="T184" s="22">
        <f>Graph_Oil!T56</f>
        <v>0</v>
      </c>
      <c r="U184" s="22">
        <f>Graph_Oil!U56</f>
        <v>0</v>
      </c>
      <c r="V184" s="22">
        <f>Graph_Oil!V56</f>
        <v>0</v>
      </c>
      <c r="W184" s="22">
        <f>Graph_Oil!W56</f>
        <v>0</v>
      </c>
      <c r="X184" s="22">
        <f>Graph_Oil!X56</f>
        <v>0</v>
      </c>
      <c r="Y184" s="22">
        <f>Graph_Oil!Y56</f>
        <v>0</v>
      </c>
      <c r="Z184" s="22">
        <f>Graph_Oil!Z56</f>
        <v>0</v>
      </c>
      <c r="AA184" s="22">
        <f>Graph_Oil!AA56</f>
        <v>0</v>
      </c>
      <c r="AB184" s="22">
        <f>Graph_Oil!AB56</f>
        <v>0</v>
      </c>
      <c r="AC184" s="22">
        <f>Graph_Oil!AC56</f>
        <v>0</v>
      </c>
      <c r="AD184" s="22">
        <f>Graph_Oil!AD56</f>
        <v>0</v>
      </c>
      <c r="AE184" s="22">
        <f>Graph_Oil!AE56</f>
        <v>0</v>
      </c>
      <c r="AF184" s="22">
        <f>Graph_Oil!AF56</f>
        <v>0</v>
      </c>
      <c r="AG184" s="22">
        <f>Graph_Oil!AG56</f>
        <v>0</v>
      </c>
      <c r="AH184" s="22">
        <f>Graph_Oil!AH56</f>
        <v>0</v>
      </c>
      <c r="AI184" s="22">
        <f>Graph_Oil!AI56</f>
        <v>0</v>
      </c>
      <c r="AJ184" s="22">
        <f>Graph_Oil!AJ56</f>
        <v>0</v>
      </c>
      <c r="AK184" s="22">
        <f>Graph_Oil!AK56</f>
        <v>0</v>
      </c>
      <c r="AL184" s="22">
        <f>Graph_Oil!AL56</f>
        <v>0</v>
      </c>
      <c r="AM184" s="22">
        <f>Graph_Oil!AM56</f>
        <v>0</v>
      </c>
      <c r="AN184"/>
      <c r="AO184" s="88">
        <f>ROW()</f>
        <v>184</v>
      </c>
    </row>
    <row r="185" spans="1:41" s="32" customFormat="1" ht="15" customHeight="1">
      <c r="A185"/>
      <c r="B185"/>
      <c r="C185"/>
      <c r="D185"/>
      <c r="E185"/>
      <c r="F185"/>
      <c r="G185"/>
      <c r="H185"/>
      <c r="I185"/>
      <c r="J185"/>
      <c r="K185"/>
      <c r="L185"/>
      <c r="M185" s="71"/>
      <c r="N185" s="71"/>
      <c r="O185" s="71"/>
      <c r="P185" s="71"/>
      <c r="Q185"/>
      <c r="R185"/>
      <c r="S185"/>
      <c r="T185"/>
      <c r="U185"/>
      <c r="V185"/>
      <c r="W185"/>
      <c r="X185"/>
      <c r="Y185"/>
      <c r="Z185"/>
      <c r="AA185"/>
      <c r="AB185"/>
      <c r="AC185"/>
      <c r="AD185"/>
      <c r="AE185"/>
      <c r="AF185"/>
      <c r="AG185"/>
      <c r="AH185"/>
      <c r="AI185"/>
      <c r="AJ185"/>
      <c r="AK185"/>
      <c r="AL185"/>
      <c r="AM185"/>
      <c r="AN185"/>
      <c r="AO185" s="88">
        <f>ROW()</f>
        <v>185</v>
      </c>
    </row>
    <row r="186" spans="1:41" s="32" customFormat="1" ht="15" customHeight="1">
      <c r="A186"/>
      <c r="B186" s="8" t="s">
        <v>358</v>
      </c>
      <c r="C186"/>
      <c r="D186"/>
      <c r="E186"/>
      <c r="F186"/>
      <c r="G186"/>
      <c r="H186"/>
      <c r="I186"/>
      <c r="J186"/>
      <c r="K186"/>
      <c r="L186"/>
      <c r="M186" s="71"/>
      <c r="N186" s="71"/>
      <c r="O186" s="71"/>
      <c r="P186" s="71"/>
      <c r="Q186"/>
      <c r="R186"/>
      <c r="S186"/>
      <c r="T186"/>
      <c r="U186"/>
      <c r="V186"/>
      <c r="W186"/>
      <c r="X186"/>
      <c r="Y186"/>
      <c r="Z186"/>
      <c r="AA186"/>
      <c r="AB186"/>
      <c r="AC186"/>
      <c r="AD186"/>
      <c r="AE186"/>
      <c r="AF186"/>
      <c r="AG186"/>
      <c r="AH186"/>
      <c r="AI186"/>
      <c r="AJ186"/>
      <c r="AK186"/>
      <c r="AL186"/>
      <c r="AM186"/>
      <c r="AN186"/>
      <c r="AO186" s="88">
        <f>ROW()</f>
        <v>186</v>
      </c>
    </row>
    <row r="187" spans="1:41" s="32" customFormat="1" ht="15" customHeight="1">
      <c r="A187"/>
      <c r="B187"/>
      <c r="C187"/>
      <c r="D187"/>
      <c r="E187"/>
      <c r="F187"/>
      <c r="G187"/>
      <c r="H187"/>
      <c r="I187"/>
      <c r="J187"/>
      <c r="K187"/>
      <c r="L187"/>
      <c r="M187" s="71"/>
      <c r="N187" s="71"/>
      <c r="O187" s="71"/>
      <c r="P187" s="71"/>
      <c r="Q187"/>
      <c r="R187"/>
      <c r="S187"/>
      <c r="T187"/>
      <c r="U187"/>
      <c r="V187"/>
      <c r="W187"/>
      <c r="X187"/>
      <c r="Y187"/>
      <c r="Z187"/>
      <c r="AA187"/>
      <c r="AB187"/>
      <c r="AC187"/>
      <c r="AD187"/>
      <c r="AE187"/>
      <c r="AF187"/>
      <c r="AG187"/>
      <c r="AH187"/>
      <c r="AI187"/>
      <c r="AJ187"/>
      <c r="AK187"/>
      <c r="AL187"/>
      <c r="AM187"/>
      <c r="AN187"/>
      <c r="AO187" s="88">
        <f>ROW()</f>
        <v>187</v>
      </c>
    </row>
    <row r="188" spans="1:41" s="32" customFormat="1" ht="15" customHeight="1">
      <c r="A188"/>
      <c r="B188" s="8" t="s">
        <v>357</v>
      </c>
      <c r="C188"/>
      <c r="D188"/>
      <c r="E188"/>
      <c r="F188"/>
      <c r="G188"/>
      <c r="H188"/>
      <c r="I188" s="25">
        <f t="shared" ref="I188:AM188" si="53">SUM(I189:I194)</f>
        <v>21016.468289499317</v>
      </c>
      <c r="J188" s="25">
        <f t="shared" si="53"/>
        <v>21308.768334321547</v>
      </c>
      <c r="K188" s="25">
        <f t="shared" si="53"/>
        <v>20957.812013670442</v>
      </c>
      <c r="L188" s="25">
        <f t="shared" si="53"/>
        <v>20118.592840936548</v>
      </c>
      <c r="M188" s="25">
        <f t="shared" si="53"/>
        <v>19476.656921272483</v>
      </c>
      <c r="N188" s="25">
        <f t="shared" si="53"/>
        <v>19798.727094632573</v>
      </c>
      <c r="O188" s="25">
        <f t="shared" si="53"/>
        <v>19585.93374902815</v>
      </c>
      <c r="P188" s="25">
        <f t="shared" si="53"/>
        <v>18799.024825343098</v>
      </c>
      <c r="Q188" s="25">
        <f t="shared" si="53"/>
        <v>16786.576606613067</v>
      </c>
      <c r="R188" s="25">
        <f t="shared" si="53"/>
        <v>16911.683680340677</v>
      </c>
      <c r="S188" s="25">
        <f t="shared" si="53"/>
        <v>17036.645914260334</v>
      </c>
      <c r="T188" s="25">
        <f t="shared" si="53"/>
        <v>17161.464853843543</v>
      </c>
      <c r="U188" s="25">
        <f t="shared" si="53"/>
        <v>17286.142604547123</v>
      </c>
      <c r="V188" s="25">
        <f t="shared" si="53"/>
        <v>17410.681815993783</v>
      </c>
      <c r="W188" s="25">
        <f t="shared" si="53"/>
        <v>17535.085665505478</v>
      </c>
      <c r="X188" s="25">
        <f t="shared" si="53"/>
        <v>17659.357841079487</v>
      </c>
      <c r="Y188" s="25">
        <f t="shared" si="53"/>
        <v>17783.502523895782</v>
      </c>
      <c r="Z188" s="25">
        <f t="shared" si="53"/>
        <v>17907.524370441475</v>
      </c>
      <c r="AA188" s="25">
        <f t="shared" si="53"/>
        <v>18007.348515398131</v>
      </c>
      <c r="AB188" s="25">
        <f t="shared" si="53"/>
        <v>18106.281041054488</v>
      </c>
      <c r="AC188" s="25">
        <f t="shared" si="53"/>
        <v>18204.811432208291</v>
      </c>
      <c r="AD188" s="25">
        <f t="shared" si="53"/>
        <v>18302.947448335177</v>
      </c>
      <c r="AE188" s="25">
        <f t="shared" si="53"/>
        <v>18400.697188950297</v>
      </c>
      <c r="AF188" s="25">
        <f t="shared" si="53"/>
        <v>18498.06907253437</v>
      </c>
      <c r="AG188" s="25">
        <f t="shared" si="53"/>
        <v>18595.071815767649</v>
      </c>
      <c r="AH188" s="25">
        <f t="shared" si="53"/>
        <v>18691.714413123944</v>
      </c>
      <c r="AI188" s="25">
        <f t="shared" si="53"/>
        <v>18788.00611687222</v>
      </c>
      <c r="AJ188" s="25">
        <f t="shared" si="53"/>
        <v>18883.956417527916</v>
      </c>
      <c r="AK188" s="25">
        <f t="shared" si="53"/>
        <v>18992.726130903378</v>
      </c>
      <c r="AL188" s="25">
        <f t="shared" si="53"/>
        <v>19101.008374032881</v>
      </c>
      <c r="AM188" s="25">
        <f t="shared" si="53"/>
        <v>19221.470143978277</v>
      </c>
      <c r="AN188"/>
      <c r="AO188" s="88">
        <f>ROW()</f>
        <v>188</v>
      </c>
    </row>
    <row r="189" spans="1:41" s="32" customFormat="1" ht="15" customHeight="1">
      <c r="A189"/>
      <c r="B189" s="32" t="s">
        <v>4</v>
      </c>
      <c r="C189"/>
      <c r="D189"/>
      <c r="E189"/>
      <c r="F189"/>
      <c r="G189"/>
      <c r="H189"/>
      <c r="I189" s="22">
        <f>Graph_Oil!I62</f>
        <v>622.22090695600014</v>
      </c>
      <c r="J189" s="22">
        <f>Graph_Oil!J62</f>
        <v>326.6572203888029</v>
      </c>
      <c r="K189" s="22">
        <f>Graph_Oil!K62</f>
        <v>334.66280077114277</v>
      </c>
      <c r="L189" s="22">
        <f>Graph_Oil!L62</f>
        <v>235.41105319424432</v>
      </c>
      <c r="M189" s="22">
        <f>Graph_Oil!M62</f>
        <v>198.21730666648958</v>
      </c>
      <c r="N189" s="22">
        <f>Graph_Oil!N62</f>
        <v>188.66953499027218</v>
      </c>
      <c r="O189" s="22">
        <f>Graph_Oil!O62</f>
        <v>143.36624413176713</v>
      </c>
      <c r="P189" s="22">
        <f>Graph_Oil!P62</f>
        <v>116.57786240280477</v>
      </c>
      <c r="Q189" s="22">
        <f>Graph_Oil!Q62</f>
        <v>80.090244390037142</v>
      </c>
      <c r="R189" s="22">
        <f>Graph_Oil!R62</f>
        <v>80.255290640211143</v>
      </c>
      <c r="S189" s="22">
        <f>Graph_Oil!S62</f>
        <v>80.419495381275041</v>
      </c>
      <c r="T189" s="22">
        <f>Graph_Oil!T62</f>
        <v>80.582860159218242</v>
      </c>
      <c r="U189" s="22">
        <f>Graph_Oil!U62</f>
        <v>80.745386600458218</v>
      </c>
      <c r="V189" s="22">
        <f>Graph_Oil!V62</f>
        <v>80.907076410399753</v>
      </c>
      <c r="W189" s="22">
        <f>Graph_Oil!W62</f>
        <v>81.067931371993637</v>
      </c>
      <c r="X189" s="22">
        <f>Graph_Oil!X62</f>
        <v>81.227953344296026</v>
      </c>
      <c r="Y189" s="22">
        <f>Graph_Oil!Y62</f>
        <v>81.387144261028737</v>
      </c>
      <c r="Z189" s="22">
        <f>Graph_Oil!Z62</f>
        <v>81.54550612914089</v>
      </c>
      <c r="AA189" s="22">
        <f>Graph_Oil!AA62</f>
        <v>81.703041027373288</v>
      </c>
      <c r="AB189" s="22">
        <f>Graph_Oil!AB62</f>
        <v>81.375534709688282</v>
      </c>
      <c r="AC189" s="22">
        <f>Graph_Oil!AC62</f>
        <v>81.045180167256177</v>
      </c>
      <c r="AD189" s="22">
        <f>Graph_Oil!AD62</f>
        <v>80.712082709033666</v>
      </c>
      <c r="AE189" s="22">
        <f>Graph_Oil!AE62</f>
        <v>80.376346600331232</v>
      </c>
      <c r="AF189" s="22">
        <f>Graph_Oil!AF62</f>
        <v>80.038075018245209</v>
      </c>
      <c r="AG189" s="22">
        <f>Graph_Oil!AG62</f>
        <v>79.697370009694339</v>
      </c>
      <c r="AH189" s="22">
        <f>Graph_Oil!AH62</f>
        <v>79.354332452024664</v>
      </c>
      <c r="AI189" s="22">
        <f>Graph_Oil!AI62</f>
        <v>79.009062016143318</v>
      </c>
      <c r="AJ189" s="22">
        <f>Graph_Oil!AJ62</f>
        <v>78.661657132138302</v>
      </c>
      <c r="AK189" s="22">
        <f>Graph_Oil!AK62</f>
        <v>78.312214957338341</v>
      </c>
      <c r="AL189" s="22">
        <f>Graph_Oil!AL62</f>
        <v>77.655820722283181</v>
      </c>
      <c r="AM189" s="22">
        <f>Graph_Oil!AM62</f>
        <v>76.999207949131332</v>
      </c>
      <c r="AN189"/>
      <c r="AO189" s="88">
        <f>ROW()</f>
        <v>189</v>
      </c>
    </row>
    <row r="190" spans="1:41" s="32" customFormat="1" ht="15" customHeight="1">
      <c r="A190"/>
      <c r="B190" s="32" t="s">
        <v>222</v>
      </c>
      <c r="C190"/>
      <c r="D190"/>
      <c r="E190"/>
      <c r="F190"/>
      <c r="G190"/>
      <c r="H190"/>
      <c r="I190" s="22">
        <f>Graph_Oil!I63</f>
        <v>9159.2639999999992</v>
      </c>
      <c r="J190" s="22">
        <f>Graph_Oil!J63</f>
        <v>9232.6610000000001</v>
      </c>
      <c r="K190" s="22">
        <f>Graph_Oil!K63</f>
        <v>9290.3490000000002</v>
      </c>
      <c r="L190" s="22">
        <f>Graph_Oil!L63</f>
        <v>8989.2279999999992</v>
      </c>
      <c r="M190" s="22">
        <f>Graph_Oil!M63</f>
        <v>8986.1110000000008</v>
      </c>
      <c r="N190" s="22">
        <f>Graph_Oil!N63</f>
        <v>9034.3259999999991</v>
      </c>
      <c r="O190" s="22">
        <f>Graph_Oil!O63</f>
        <v>8736.1880000000001</v>
      </c>
      <c r="P190" s="22">
        <f>Graph_Oil!P63</f>
        <v>8703.0380000000005</v>
      </c>
      <c r="Q190" s="22">
        <f>Graph_Oil!Q63</f>
        <v>7787.443655699798</v>
      </c>
      <c r="R190" s="22">
        <f>Graph_Oil!R63</f>
        <v>7858.9968679588328</v>
      </c>
      <c r="S190" s="22">
        <f>Graph_Oil!S63</f>
        <v>7930.8903345750978</v>
      </c>
      <c r="T190" s="22">
        <f>Graph_Oil!T63</f>
        <v>8003.1266732448848</v>
      </c>
      <c r="U190" s="22">
        <f>Graph_Oil!U63</f>
        <v>8075.7086014231472</v>
      </c>
      <c r="V190" s="22">
        <f>Graph_Oil!V63</f>
        <v>8148.6389345575226</v>
      </c>
      <c r="W190" s="22">
        <f>Graph_Oil!W63</f>
        <v>8221.920584295005</v>
      </c>
      <c r="X190" s="22">
        <f>Graph_Oil!X63</f>
        <v>8295.5565566661862</v>
      </c>
      <c r="Y190" s="22">
        <f>Graph_Oil!Y63</f>
        <v>8369.5499502520724</v>
      </c>
      <c r="Z190" s="22">
        <f>Graph_Oil!Z63</f>
        <v>8443.903954338055</v>
      </c>
      <c r="AA190" s="22">
        <f>Graph_Oil!AA63</f>
        <v>8507.9813898847679</v>
      </c>
      <c r="AB190" s="22">
        <f>Graph_Oil!AB63</f>
        <v>8572.2519121362984</v>
      </c>
      <c r="AC190" s="22">
        <f>Graph_Oil!AC63</f>
        <v>8636.7179185184941</v>
      </c>
      <c r="AD190" s="22">
        <f>Graph_Oil!AD63</f>
        <v>8701.3818750141309</v>
      </c>
      <c r="AE190" s="22">
        <f>Graph_Oil!AE63</f>
        <v>8766.2463138569601</v>
      </c>
      <c r="AF190" s="22">
        <f>Graph_Oil!AF63</f>
        <v>8831.3138312521169</v>
      </c>
      <c r="AG190" s="22">
        <f>Graph_Oil!AG63</f>
        <v>8896.5870851259151</v>
      </c>
      <c r="AH190" s="22">
        <f>Graph_Oil!AH63</f>
        <v>8962.0687929078576</v>
      </c>
      <c r="AI190" s="22">
        <f>Graph_Oil!AI63</f>
        <v>9027.7617293474268</v>
      </c>
      <c r="AJ190" s="22">
        <f>Graph_Oil!AJ63</f>
        <v>9093.6687243679826</v>
      </c>
      <c r="AK190" s="22">
        <f>Graph_Oil!AK63</f>
        <v>9165.732486287945</v>
      </c>
      <c r="AL190" s="22">
        <f>Graph_Oil!AL63</f>
        <v>9238.1060470270259</v>
      </c>
      <c r="AM190" s="22">
        <f>Graph_Oil!AM63</f>
        <v>9316.3960208483022</v>
      </c>
      <c r="AN190"/>
      <c r="AO190" s="88">
        <f>ROW()</f>
        <v>190</v>
      </c>
    </row>
    <row r="191" spans="1:41" s="32" customFormat="1" ht="15" customHeight="1">
      <c r="A191"/>
      <c r="B191" s="32" t="s">
        <v>164</v>
      </c>
      <c r="C191"/>
      <c r="D191"/>
      <c r="E191"/>
      <c r="F191"/>
      <c r="G191"/>
      <c r="H191"/>
      <c r="I191" s="22">
        <f>Graph_Oil!I64</f>
        <v>3294.4080000000004</v>
      </c>
      <c r="J191" s="22">
        <f>Graph_Oil!J64</f>
        <v>3335.2960000000003</v>
      </c>
      <c r="K191" s="22">
        <f>Graph_Oil!K64</f>
        <v>3356.7280000000001</v>
      </c>
      <c r="L191" s="22">
        <f>Graph_Oil!L64</f>
        <v>3156.328</v>
      </c>
      <c r="M191" s="22">
        <f>Graph_Oil!M64</f>
        <v>2904.864</v>
      </c>
      <c r="N191" s="22">
        <f>Graph_Oil!N64</f>
        <v>3040.248</v>
      </c>
      <c r="O191" s="22">
        <f>Graph_Oil!O64</f>
        <v>3119.08</v>
      </c>
      <c r="P191" s="22">
        <f>Graph_Oil!P64</f>
        <v>2994.1743999999999</v>
      </c>
      <c r="Q191" s="22">
        <f>Graph_Oil!Q64</f>
        <v>2568.8038200900478</v>
      </c>
      <c r="R191" s="22">
        <f>Graph_Oil!R64</f>
        <v>2585.784380871798</v>
      </c>
      <c r="S191" s="22">
        <f>Graph_Oil!S64</f>
        <v>2602.603901776044</v>
      </c>
      <c r="T191" s="22">
        <f>Graph_Oil!T64</f>
        <v>2619.2612735033872</v>
      </c>
      <c r="U191" s="22">
        <f>Graph_Oil!U64</f>
        <v>2635.7555643911337</v>
      </c>
      <c r="V191" s="22">
        <f>Graph_Oil!V64</f>
        <v>2652.0860170264241</v>
      </c>
      <c r="W191" s="22">
        <f>Graph_Oil!W64</f>
        <v>2668.2520445606774</v>
      </c>
      <c r="X191" s="22">
        <f>Graph_Oil!X64</f>
        <v>2684.2532267485012</v>
      </c>
      <c r="Y191" s="22">
        <f>Graph_Oil!Y64</f>
        <v>2700.0893057345065</v>
      </c>
      <c r="Z191" s="22">
        <f>Graph_Oil!Z64</f>
        <v>2715.7601816115935</v>
      </c>
      <c r="AA191" s="22">
        <f>Graph_Oil!AA64</f>
        <v>2727.8543327041525</v>
      </c>
      <c r="AB191" s="22">
        <f>Graph_Oil!AB64</f>
        <v>2739.749497441489</v>
      </c>
      <c r="AC191" s="22">
        <f>Graph_Oil!AC64</f>
        <v>2751.4467036347482</v>
      </c>
      <c r="AD191" s="22">
        <f>Graph_Oil!AD64</f>
        <v>2762.9471133945722</v>
      </c>
      <c r="AE191" s="22">
        <f>Graph_Oil!AE64</f>
        <v>2774.2520170757489</v>
      </c>
      <c r="AF191" s="22">
        <f>Graph_Oil!AF64</f>
        <v>2785.362827172466</v>
      </c>
      <c r="AG191" s="22">
        <f>Graph_Oil!AG64</f>
        <v>2796.2810721854494</v>
      </c>
      <c r="AH191" s="22">
        <f>Graph_Oil!AH64</f>
        <v>2807.0083904813014</v>
      </c>
      <c r="AI191" s="22">
        <f>Graph_Oil!AI64</f>
        <v>2817.5465241633456</v>
      </c>
      <c r="AJ191" s="22">
        <f>Graph_Oil!AJ64</f>
        <v>2827.8973129721976</v>
      </c>
      <c r="AK191" s="22">
        <f>Graph_Oil!AK64</f>
        <v>2839.9030788688747</v>
      </c>
      <c r="AL191" s="22">
        <f>Graph_Oil!AL64</f>
        <v>2851.7395917405479</v>
      </c>
      <c r="AM191" s="22">
        <f>Graph_Oil!AM64</f>
        <v>2865.1317698170292</v>
      </c>
      <c r="AN191"/>
      <c r="AO191" s="88">
        <f>ROW()</f>
        <v>191</v>
      </c>
    </row>
    <row r="192" spans="1:41" s="32" customFormat="1" ht="15" customHeight="1">
      <c r="A192"/>
      <c r="B192" s="32" t="s">
        <v>18</v>
      </c>
      <c r="C192"/>
      <c r="D192"/>
      <c r="E192"/>
      <c r="F192"/>
      <c r="G192"/>
      <c r="H192"/>
      <c r="I192" s="22">
        <f>Graph_Oil!I65</f>
        <v>1698.1849999999999</v>
      </c>
      <c r="J192" s="22">
        <f>Graph_Oil!J65</f>
        <v>1651.0500000000002</v>
      </c>
      <c r="K192" s="22">
        <f>Graph_Oil!K65</f>
        <v>1639.5309999999999</v>
      </c>
      <c r="L192" s="22">
        <f>Graph_Oil!L65</f>
        <v>1553.8630000000001</v>
      </c>
      <c r="M192" s="22">
        <f>Graph_Oil!M65</f>
        <v>1407.6000000000001</v>
      </c>
      <c r="N192" s="22">
        <f>Graph_Oil!N65</f>
        <v>1445.4229999999998</v>
      </c>
      <c r="O192" s="22">
        <f>Graph_Oil!O65</f>
        <v>1440.02</v>
      </c>
      <c r="P192" s="22">
        <f>Graph_Oil!P65</f>
        <v>1413.06</v>
      </c>
      <c r="Q192" s="22">
        <f>Graph_Oil!Q65</f>
        <v>1209.1069184677735</v>
      </c>
      <c r="R192" s="22">
        <f>Graph_Oil!R65</f>
        <v>1219.9400495546636</v>
      </c>
      <c r="S192" s="22">
        <f>Graph_Oil!S65</f>
        <v>1230.6545795554655</v>
      </c>
      <c r="T192" s="22">
        <f>Graph_Oil!T65</f>
        <v>1241.2498562893593</v>
      </c>
      <c r="U192" s="22">
        <f>Graph_Oil!U65</f>
        <v>1251.7254317752449</v>
      </c>
      <c r="V192" s="22">
        <f>Graph_Oil!V65</f>
        <v>1262.0810552437276</v>
      </c>
      <c r="W192" s="22">
        <f>Graph_Oil!W65</f>
        <v>1272.3166657767952</v>
      </c>
      <c r="X192" s="22">
        <f>Graph_Oil!X65</f>
        <v>1282.4323846321286</v>
      </c>
      <c r="Y192" s="22">
        <f>Graph_Oil!Y65</f>
        <v>1292.4285073075571</v>
      </c>
      <c r="Z192" s="22">
        <f>Graph_Oil!Z65</f>
        <v>1302.3054953993469</v>
      </c>
      <c r="AA192" s="22">
        <f>Graph_Oil!AA65</f>
        <v>1309.6064229050469</v>
      </c>
      <c r="AB192" s="22">
        <f>Graph_Oil!AB65</f>
        <v>1316.7581260316426</v>
      </c>
      <c r="AC192" s="22">
        <f>Graph_Oil!AC65</f>
        <v>1323.7622625252943</v>
      </c>
      <c r="AD192" s="22">
        <f>Graph_Oil!AD65</f>
        <v>1330.620612119136</v>
      </c>
      <c r="AE192" s="22">
        <f>Graph_Oil!AE65</f>
        <v>1337.3350669701933</v>
      </c>
      <c r="AF192" s="22">
        <f>Graph_Oil!AF65</f>
        <v>1343.9076222594917</v>
      </c>
      <c r="AG192" s="22">
        <f>Graph_Oil!AG65</f>
        <v>1350.3403669879547</v>
      </c>
      <c r="AH192" s="22">
        <f>Graph_Oil!AH65</f>
        <v>1356.6354749971144</v>
      </c>
      <c r="AI192" s="22">
        <f>Graph_Oil!AI65</f>
        <v>1362.7951962401169</v>
      </c>
      <c r="AJ192" s="22">
        <f>Graph_Oil!AJ65</f>
        <v>1368.821848325088</v>
      </c>
      <c r="AK192" s="22">
        <f>Graph_Oil!AK65</f>
        <v>1376.0552142704462</v>
      </c>
      <c r="AL192" s="22">
        <f>Graph_Oil!AL65</f>
        <v>1383.1728457548668</v>
      </c>
      <c r="AM192" s="22">
        <f>Graph_Oil!AM65</f>
        <v>1391.43193943763</v>
      </c>
      <c r="AN192"/>
      <c r="AO192" s="88">
        <f>ROW()</f>
        <v>192</v>
      </c>
    </row>
    <row r="193" spans="1:41" s="32" customFormat="1" ht="15" customHeight="1">
      <c r="A193"/>
      <c r="B193" s="32" t="s">
        <v>740</v>
      </c>
      <c r="C193"/>
      <c r="D193"/>
      <c r="E193"/>
      <c r="F193"/>
      <c r="G193"/>
      <c r="H193"/>
      <c r="I193" s="22">
        <f>Graph_Oil!I66</f>
        <v>6242.3903825433181</v>
      </c>
      <c r="J193" s="22">
        <f>Graph_Oil!J66</f>
        <v>6763.1041139327444</v>
      </c>
      <c r="K193" s="22">
        <f>Graph_Oil!K66</f>
        <v>6336.5412128993003</v>
      </c>
      <c r="L193" s="22">
        <f>Graph_Oil!L66</f>
        <v>6183.7627877423047</v>
      </c>
      <c r="M193" s="22">
        <f>Graph_Oil!M66</f>
        <v>5979.8646146059937</v>
      </c>
      <c r="N193" s="22">
        <f>Graph_Oil!N66</f>
        <v>6090.0605596423029</v>
      </c>
      <c r="O193" s="22">
        <f>Graph_Oil!O66</f>
        <v>6147.2795048963835</v>
      </c>
      <c r="P193" s="22">
        <f>Graph_Oil!P66</f>
        <v>5572.174562940294</v>
      </c>
      <c r="Q193" s="22">
        <f>Graph_Oil!Q66</f>
        <v>5141.1319679654098</v>
      </c>
      <c r="R193" s="22">
        <f>Graph_Oil!R66</f>
        <v>5166.7070913151692</v>
      </c>
      <c r="S193" s="22">
        <f>Graph_Oil!S66</f>
        <v>5192.077602972452</v>
      </c>
      <c r="T193" s="22">
        <f>Graph_Oil!T66</f>
        <v>5217.2441906466938</v>
      </c>
      <c r="U193" s="22">
        <f>Graph_Oil!U66</f>
        <v>5242.2076203571387</v>
      </c>
      <c r="V193" s="22">
        <f>Graph_Oil!V66</f>
        <v>5266.9687327557112</v>
      </c>
      <c r="W193" s="22">
        <f>Graph_Oil!W66</f>
        <v>5291.5284395010058</v>
      </c>
      <c r="X193" s="22">
        <f>Graph_Oil!X66</f>
        <v>5315.8877196883768</v>
      </c>
      <c r="Y193" s="22">
        <f>Graph_Oil!Y66</f>
        <v>5340.0476163406183</v>
      </c>
      <c r="Z193" s="22">
        <f>Graph_Oil!Z66</f>
        <v>5364.0092329633399</v>
      </c>
      <c r="AA193" s="22">
        <f>Graph_Oil!AA66</f>
        <v>5380.2033288767907</v>
      </c>
      <c r="AB193" s="22">
        <f>Graph_Oil!AB66</f>
        <v>5396.1459707353706</v>
      </c>
      <c r="AC193" s="22">
        <f>Graph_Oil!AC66</f>
        <v>5411.8393673624969</v>
      </c>
      <c r="AD193" s="22">
        <f>Graph_Oil!AD66</f>
        <v>5427.2857650983069</v>
      </c>
      <c r="AE193" s="22">
        <f>Graph_Oil!AE66</f>
        <v>5442.4874444470606</v>
      </c>
      <c r="AF193" s="22">
        <f>Graph_Oil!AF66</f>
        <v>5457.4467168320507</v>
      </c>
      <c r="AG193" s="22">
        <f>Graph_Oil!AG66</f>
        <v>5472.1659214586334</v>
      </c>
      <c r="AH193" s="22">
        <f>Graph_Oil!AH66</f>
        <v>5486.6474222856459</v>
      </c>
      <c r="AI193" s="22">
        <f>Graph_Oil!AI66</f>
        <v>5500.8936051051887</v>
      </c>
      <c r="AJ193" s="22">
        <f>Graph_Oil!AJ66</f>
        <v>5514.9068747305109</v>
      </c>
      <c r="AK193" s="22">
        <f>Graph_Oil!AK66</f>
        <v>5532.7231365187745</v>
      </c>
      <c r="AL193" s="22">
        <f>Graph_Oil!AL66</f>
        <v>5550.3340687881573</v>
      </c>
      <c r="AM193" s="22">
        <f>Graph_Oil!AM66</f>
        <v>5571.5112059261837</v>
      </c>
      <c r="AN193"/>
      <c r="AO193" s="88">
        <f>ROW()</f>
        <v>193</v>
      </c>
    </row>
    <row r="194" spans="1:41" s="32" customFormat="1" ht="15" customHeight="1">
      <c r="A194"/>
      <c r="B194" s="32" t="s">
        <v>739</v>
      </c>
      <c r="C194"/>
      <c r="D194"/>
      <c r="E194"/>
      <c r="F194"/>
      <c r="G194"/>
      <c r="H194"/>
      <c r="I194" s="22">
        <f>Graph_Oil!I67</f>
        <v>0</v>
      </c>
      <c r="J194" s="22">
        <f>Graph_Oil!J67</f>
        <v>0</v>
      </c>
      <c r="K194" s="22">
        <f>Graph_Oil!K67</f>
        <v>0</v>
      </c>
      <c r="L194" s="22">
        <f>Graph_Oil!L67</f>
        <v>0</v>
      </c>
      <c r="M194" s="22">
        <f>Graph_Oil!M67</f>
        <v>0</v>
      </c>
      <c r="N194" s="22">
        <f>Graph_Oil!N67</f>
        <v>0</v>
      </c>
      <c r="O194" s="22">
        <f>Graph_Oil!O67</f>
        <v>0</v>
      </c>
      <c r="P194" s="22">
        <f>Graph_Oil!P67</f>
        <v>0</v>
      </c>
      <c r="Q194" s="22">
        <f>Graph_Oil!Q67</f>
        <v>0</v>
      </c>
      <c r="R194" s="22">
        <f>Graph_Oil!R67</f>
        <v>0</v>
      </c>
      <c r="S194" s="22">
        <f>Graph_Oil!S67</f>
        <v>0</v>
      </c>
      <c r="T194" s="22">
        <f>Graph_Oil!T67</f>
        <v>0</v>
      </c>
      <c r="U194" s="22">
        <f>Graph_Oil!U67</f>
        <v>0</v>
      </c>
      <c r="V194" s="22">
        <f>Graph_Oil!V67</f>
        <v>0</v>
      </c>
      <c r="W194" s="22">
        <f>Graph_Oil!W67</f>
        <v>0</v>
      </c>
      <c r="X194" s="22">
        <f>Graph_Oil!X67</f>
        <v>0</v>
      </c>
      <c r="Y194" s="22">
        <f>Graph_Oil!Y67</f>
        <v>0</v>
      </c>
      <c r="Z194" s="22">
        <f>Graph_Oil!Z67</f>
        <v>0</v>
      </c>
      <c r="AA194" s="22">
        <f>Graph_Oil!AA67</f>
        <v>0</v>
      </c>
      <c r="AB194" s="22">
        <f>Graph_Oil!AB67</f>
        <v>0</v>
      </c>
      <c r="AC194" s="22">
        <f>Graph_Oil!AC67</f>
        <v>0</v>
      </c>
      <c r="AD194" s="22">
        <f>Graph_Oil!AD67</f>
        <v>0</v>
      </c>
      <c r="AE194" s="22">
        <f>Graph_Oil!AE67</f>
        <v>0</v>
      </c>
      <c r="AF194" s="22">
        <f>Graph_Oil!AF67</f>
        <v>0</v>
      </c>
      <c r="AG194" s="22">
        <f>Graph_Oil!AG67</f>
        <v>0</v>
      </c>
      <c r="AH194" s="22">
        <f>Graph_Oil!AH67</f>
        <v>0</v>
      </c>
      <c r="AI194" s="22">
        <f>Graph_Oil!AI67</f>
        <v>0</v>
      </c>
      <c r="AJ194" s="22">
        <f>Graph_Oil!AJ67</f>
        <v>0</v>
      </c>
      <c r="AK194" s="22">
        <f>Graph_Oil!AK67</f>
        <v>0</v>
      </c>
      <c r="AL194" s="22">
        <f>Graph_Oil!AL67</f>
        <v>0</v>
      </c>
      <c r="AM194" s="22">
        <f>Graph_Oil!AM67</f>
        <v>0</v>
      </c>
      <c r="AN194"/>
      <c r="AO194" s="88">
        <f>ROW()</f>
        <v>194</v>
      </c>
    </row>
    <row r="195" spans="1:41" s="32" customFormat="1" ht="15" customHeight="1">
      <c r="A195"/>
      <c r="H195" s="33"/>
      <c r="M195" s="136"/>
      <c r="N195" s="136"/>
      <c r="O195" s="136"/>
      <c r="P195" s="136"/>
      <c r="Q195" s="36"/>
      <c r="R195" s="35"/>
      <c r="S195" s="35"/>
      <c r="T195" s="35"/>
      <c r="U195" s="35"/>
      <c r="V195" s="35"/>
      <c r="W195" s="35"/>
      <c r="X195" s="35"/>
      <c r="Y195" s="35"/>
      <c r="Z195" s="35"/>
      <c r="AA195" s="35"/>
      <c r="AB195" s="35"/>
      <c r="AC195" s="35"/>
      <c r="AD195" s="35"/>
      <c r="AE195" s="35"/>
      <c r="AF195" s="35"/>
      <c r="AG195" s="35"/>
      <c r="AH195" s="35"/>
      <c r="AI195" s="35"/>
      <c r="AJ195" s="35"/>
      <c r="AK195" s="35"/>
      <c r="AL195" s="35"/>
      <c r="AM195" s="35"/>
      <c r="AN195" s="35"/>
      <c r="AO195" s="88">
        <f>ROW()</f>
        <v>195</v>
      </c>
    </row>
    <row r="196" spans="1:41" s="32" customFormat="1" ht="15" customHeight="1">
      <c r="H196" s="33"/>
      <c r="M196" s="136"/>
      <c r="N196" s="136"/>
      <c r="O196" s="136"/>
      <c r="P196" s="525" t="s">
        <v>748</v>
      </c>
      <c r="Q196">
        <f>Q$94</f>
        <v>1</v>
      </c>
      <c r="R196">
        <f t="shared" ref="R196:AM196" si="54">R$94</f>
        <v>2</v>
      </c>
      <c r="S196">
        <f t="shared" si="54"/>
        <v>3</v>
      </c>
      <c r="T196">
        <f t="shared" si="54"/>
        <v>4</v>
      </c>
      <c r="U196">
        <f t="shared" si="54"/>
        <v>5</v>
      </c>
      <c r="V196">
        <f t="shared" si="54"/>
        <v>6</v>
      </c>
      <c r="W196">
        <f t="shared" si="54"/>
        <v>7</v>
      </c>
      <c r="X196">
        <f t="shared" si="54"/>
        <v>8</v>
      </c>
      <c r="Y196">
        <f t="shared" si="54"/>
        <v>9</v>
      </c>
      <c r="Z196">
        <f t="shared" si="54"/>
        <v>10</v>
      </c>
      <c r="AA196">
        <f t="shared" si="54"/>
        <v>11</v>
      </c>
      <c r="AB196">
        <f t="shared" si="54"/>
        <v>12</v>
      </c>
      <c r="AC196">
        <f t="shared" si="54"/>
        <v>13</v>
      </c>
      <c r="AD196">
        <f t="shared" si="54"/>
        <v>14</v>
      </c>
      <c r="AE196">
        <f t="shared" si="54"/>
        <v>15</v>
      </c>
      <c r="AF196">
        <f t="shared" si="54"/>
        <v>16</v>
      </c>
      <c r="AG196">
        <f t="shared" si="54"/>
        <v>17</v>
      </c>
      <c r="AH196">
        <f t="shared" si="54"/>
        <v>18</v>
      </c>
      <c r="AI196">
        <f t="shared" si="54"/>
        <v>19</v>
      </c>
      <c r="AJ196">
        <f t="shared" si="54"/>
        <v>20</v>
      </c>
      <c r="AK196">
        <f t="shared" si="54"/>
        <v>21</v>
      </c>
      <c r="AL196">
        <f t="shared" si="54"/>
        <v>22</v>
      </c>
      <c r="AM196">
        <f t="shared" si="54"/>
        <v>23</v>
      </c>
      <c r="AN196" s="35"/>
      <c r="AO196" s="88">
        <f>ROW()</f>
        <v>196</v>
      </c>
    </row>
    <row r="197" spans="1:41" s="32" customFormat="1" ht="15" customHeight="1">
      <c r="H197" s="33"/>
      <c r="M197" s="136"/>
      <c r="N197" s="136"/>
      <c r="O197" s="136"/>
      <c r="P197" s="136"/>
      <c r="Q197" s="36"/>
      <c r="R197" s="35"/>
      <c r="S197" s="35"/>
      <c r="T197" s="35"/>
      <c r="U197" s="35"/>
      <c r="V197" s="35"/>
      <c r="W197" s="35"/>
      <c r="X197" s="35"/>
      <c r="Y197" s="35"/>
      <c r="Z197" s="35"/>
      <c r="AA197" s="35"/>
      <c r="AB197" s="35"/>
      <c r="AC197" s="35"/>
      <c r="AD197" s="35"/>
      <c r="AE197" s="35"/>
      <c r="AF197" s="35"/>
      <c r="AG197" s="35"/>
      <c r="AH197" s="35"/>
      <c r="AI197" s="35"/>
      <c r="AJ197" s="35"/>
      <c r="AK197" s="35"/>
      <c r="AL197" s="35"/>
      <c r="AM197" s="35"/>
      <c r="AN197" s="35"/>
      <c r="AO197" s="88">
        <f>ROW()</f>
        <v>197</v>
      </c>
    </row>
    <row r="198" spans="1:41" s="32" customFormat="1" ht="15" customHeight="1">
      <c r="B198" s="1" t="s">
        <v>768</v>
      </c>
      <c r="D198" s="570"/>
      <c r="E198" s="571"/>
      <c r="F198" s="571"/>
      <c r="G198" s="572" t="s">
        <v>786</v>
      </c>
      <c r="H198" s="573" t="s">
        <v>458</v>
      </c>
      <c r="I198" s="13">
        <f t="shared" ref="I198:AM198" si="55">I$116</f>
        <v>2005</v>
      </c>
      <c r="J198" s="13">
        <f t="shared" si="55"/>
        <v>2006</v>
      </c>
      <c r="K198" s="13">
        <f t="shared" si="55"/>
        <v>2007</v>
      </c>
      <c r="L198" s="13">
        <f t="shared" si="55"/>
        <v>2008</v>
      </c>
      <c r="M198" s="13">
        <f t="shared" si="55"/>
        <v>2009</v>
      </c>
      <c r="N198" s="13">
        <f t="shared" si="55"/>
        <v>2010</v>
      </c>
      <c r="O198" s="13">
        <f t="shared" si="55"/>
        <v>2011</v>
      </c>
      <c r="P198" s="13">
        <f t="shared" si="55"/>
        <v>2012</v>
      </c>
      <c r="Q198" s="13">
        <f t="shared" si="55"/>
        <v>2015</v>
      </c>
      <c r="R198" s="13">
        <f t="shared" si="55"/>
        <v>2016</v>
      </c>
      <c r="S198" s="13">
        <f t="shared" si="55"/>
        <v>2017</v>
      </c>
      <c r="T198" s="13">
        <f t="shared" si="55"/>
        <v>2018</v>
      </c>
      <c r="U198" s="13">
        <f t="shared" si="55"/>
        <v>2019</v>
      </c>
      <c r="V198" s="13">
        <f t="shared" si="55"/>
        <v>2020</v>
      </c>
      <c r="W198" s="13">
        <f t="shared" si="55"/>
        <v>2021</v>
      </c>
      <c r="X198" s="13">
        <f t="shared" si="55"/>
        <v>2022</v>
      </c>
      <c r="Y198" s="13">
        <f t="shared" si="55"/>
        <v>2023</v>
      </c>
      <c r="Z198" s="13">
        <f t="shared" si="55"/>
        <v>2024</v>
      </c>
      <c r="AA198" s="13">
        <f t="shared" si="55"/>
        <v>2025</v>
      </c>
      <c r="AB198" s="13">
        <f t="shared" si="55"/>
        <v>2026</v>
      </c>
      <c r="AC198" s="13">
        <f t="shared" si="55"/>
        <v>2027</v>
      </c>
      <c r="AD198" s="13">
        <f t="shared" si="55"/>
        <v>2028</v>
      </c>
      <c r="AE198" s="13">
        <f t="shared" si="55"/>
        <v>2029</v>
      </c>
      <c r="AF198" s="13">
        <f t="shared" si="55"/>
        <v>2030</v>
      </c>
      <c r="AG198" s="13">
        <f t="shared" si="55"/>
        <v>2031</v>
      </c>
      <c r="AH198" s="13">
        <f t="shared" si="55"/>
        <v>2032</v>
      </c>
      <c r="AI198" s="13">
        <f t="shared" si="55"/>
        <v>2033</v>
      </c>
      <c r="AJ198" s="13">
        <f t="shared" si="55"/>
        <v>2034</v>
      </c>
      <c r="AK198" s="13">
        <f t="shared" si="55"/>
        <v>2035</v>
      </c>
      <c r="AL198" s="13">
        <f t="shared" si="55"/>
        <v>2036</v>
      </c>
      <c r="AM198" s="13">
        <f t="shared" si="55"/>
        <v>2037</v>
      </c>
      <c r="AN198" s="35"/>
      <c r="AO198" s="88">
        <f>ROW()</f>
        <v>198</v>
      </c>
    </row>
    <row r="199" spans="1:41" s="32" customFormat="1" ht="15" customHeight="1">
      <c r="D199" s="781" t="s">
        <v>828</v>
      </c>
      <c r="E199" s="782"/>
      <c r="F199" s="782"/>
      <c r="G199" s="782"/>
      <c r="H199" s="782"/>
      <c r="I199" s="783"/>
      <c r="M199" s="136"/>
      <c r="N199" s="136"/>
      <c r="O199" s="136"/>
      <c r="P199" s="136"/>
      <c r="Q199" s="36"/>
      <c r="R199" s="35"/>
      <c r="S199" s="35"/>
      <c r="T199" s="35"/>
      <c r="U199" s="35"/>
      <c r="V199" s="35"/>
      <c r="W199" s="35"/>
      <c r="X199" s="35"/>
      <c r="Y199" s="35"/>
      <c r="Z199" s="35"/>
      <c r="AA199" s="35"/>
      <c r="AB199" s="35"/>
      <c r="AC199" s="35"/>
      <c r="AD199" s="35"/>
      <c r="AE199" s="35"/>
      <c r="AF199" s="35"/>
      <c r="AG199" s="35"/>
      <c r="AH199" s="35"/>
      <c r="AI199" s="35"/>
      <c r="AJ199" s="35"/>
      <c r="AK199" s="35"/>
      <c r="AL199" s="35"/>
      <c r="AM199" s="35"/>
      <c r="AN199" s="35"/>
      <c r="AO199" s="88">
        <f>ROW()</f>
        <v>199</v>
      </c>
    </row>
    <row r="200" spans="1:41" s="8" customFormat="1" ht="15" customHeight="1">
      <c r="A200" s="32"/>
      <c r="B200" s="8" t="s">
        <v>325</v>
      </c>
      <c r="H200" s="24"/>
      <c r="M200" s="139"/>
      <c r="N200" s="139"/>
      <c r="O200" s="139"/>
      <c r="P200" s="139"/>
      <c r="Q200" s="220">
        <f>((Electricity!Q77+'Personal Ground Travel'!Q69+Freight!Q74+Aviation!Q74+Other_Petrol!Q74+'Other_Natural Gas'!Q84))</f>
        <v>362.47957012662982</v>
      </c>
      <c r="R200" s="220">
        <f>((Electricity!R77+'Personal Ground Travel'!R69+Freight!R74+Aviation!R74+Other_Petrol!R74+'Other_Natural Gas'!R84))</f>
        <v>371.00808741064981</v>
      </c>
      <c r="S200" s="220">
        <f>((Electricity!S77+'Personal Ground Travel'!S69+Freight!S74+Aviation!S74+Other_Petrol!S74+'Other_Natural Gas'!S84))</f>
        <v>379.96176197504525</v>
      </c>
      <c r="T200" s="220">
        <f>((Electricity!T77+'Personal Ground Travel'!T69+Freight!T74+Aviation!T74+Other_Petrol!T74+'Other_Natural Gas'!T84))</f>
        <v>389.04102238975304</v>
      </c>
      <c r="U200" s="220">
        <f>((Electricity!U77+'Personal Ground Travel'!U69+Freight!U74+Aviation!U74+Other_Petrol!U74+'Other_Natural Gas'!U84))</f>
        <v>398.34630442333577</v>
      </c>
      <c r="V200" s="220">
        <f>((Electricity!V77+'Personal Ground Travel'!V69+Freight!V74+Aviation!V74+Other_Petrol!V74+'Other_Natural Gas'!V84))</f>
        <v>407.57805116395417</v>
      </c>
      <c r="W200" s="220">
        <f>((Electricity!W77+'Personal Ground Travel'!W69+Freight!W74+Aviation!W74+Other_Petrol!W74+'Other_Natural Gas'!W84))</f>
        <v>417.23671314237151</v>
      </c>
      <c r="X200" s="220">
        <f>((Electricity!X77+'Personal Ground Travel'!X69+Freight!X74+Aviation!X74+Other_Petrol!X74+'Other_Natural Gas'!X84))</f>
        <v>427.12274845702592</v>
      </c>
      <c r="Y200" s="220">
        <f>((Electricity!Y77+'Personal Ground Travel'!Y69+Freight!Y74+Aviation!Y74+Other_Petrol!Y74+'Other_Natural Gas'!Y84))</f>
        <v>437.23662290120302</v>
      </c>
      <c r="Z200" s="220">
        <f>((Electricity!Z77+'Personal Ground Travel'!Z69+Freight!Z74+Aviation!Z74+Other_Petrol!Z74+'Other_Natural Gas'!Z84))</f>
        <v>447.67881009234492</v>
      </c>
      <c r="AA200" s="220">
        <f>((Electricity!AA77+'Personal Ground Travel'!AA69+Freight!AA74+Aviation!AA74+Other_Petrol!AA74+'Other_Natural Gas'!AA84))</f>
        <v>457.64979160353255</v>
      </c>
      <c r="AB200" s="220">
        <f>((Electricity!AB77+'Personal Ground Travel'!AB69+Freight!AB74+Aviation!AB74+Other_Petrol!AB74+'Other_Natural Gas'!AB84))</f>
        <v>467.29018354724866</v>
      </c>
      <c r="AC200" s="220">
        <f>((Electricity!AC77+'Personal Ground Travel'!AC69+Freight!AC74+Aviation!AC74+Other_Petrol!AC74+'Other_Natural Gas'!AC84))</f>
        <v>477.13967704039993</v>
      </c>
      <c r="AD200" s="220">
        <f>((Electricity!AD77+'Personal Ground Travel'!AD69+Freight!AD74+Aviation!AD74+Other_Petrol!AD74+'Other_Natural Gas'!AD84))</f>
        <v>487.09833606120321</v>
      </c>
      <c r="AE200" s="220">
        <f>((Electricity!AE77+'Personal Ground Travel'!AE69+Freight!AE74+Aviation!AE74+Other_Petrol!AE74+'Other_Natural Gas'!AE84))</f>
        <v>497.26622619837502</v>
      </c>
      <c r="AF200" s="220">
        <f>((Electricity!AF77+'Personal Ground Travel'!AF69+Freight!AF74+Aviation!AF74+Other_Petrol!AF74+'Other_Natural Gas'!AF84))</f>
        <v>507.64341465575785</v>
      </c>
      <c r="AG200" s="220">
        <f>((Electricity!AG77+'Personal Ground Travel'!AG69+Freight!AG74+Aviation!AG74+Other_Petrol!AG74+'Other_Natural Gas'!AG84))</f>
        <v>518.12997025626726</v>
      </c>
      <c r="AH200" s="220">
        <f>((Electricity!AH77+'Personal Ground Travel'!AH69+Freight!AH74+Aviation!AH74+Other_Petrol!AH74+'Other_Natural Gas'!AH84))</f>
        <v>529.02596344519407</v>
      </c>
      <c r="AI200" s="220">
        <f>((Electricity!AI77+'Personal Ground Travel'!AI69+Freight!AI74+Aviation!AI74+Other_Petrol!AI74+'Other_Natural Gas'!AI84))</f>
        <v>539.9314662928989</v>
      </c>
      <c r="AJ200" s="220">
        <f>((Electricity!AJ77+'Personal Ground Travel'!AJ69+Freight!AJ74+Aviation!AJ74+Other_Petrol!AJ74+'Other_Natural Gas'!AJ84))</f>
        <v>551.34655249693458</v>
      </c>
      <c r="AK200" s="220">
        <f>((Electricity!AK77+'Personal Ground Travel'!AK69+Freight!AK74+Aviation!AK74+Other_Petrol!AK74+'Other_Natural Gas'!AK84))</f>
        <v>562.97129738363321</v>
      </c>
      <c r="AL200" s="220">
        <f>((Electricity!AL77+'Personal Ground Travel'!AL69+Freight!AL74+Aviation!AL74+Other_Petrol!AL74+'Other_Natural Gas'!AL84))</f>
        <v>574.19104543443405</v>
      </c>
      <c r="AM200" s="220">
        <f>((Electricity!AM77+'Personal Ground Travel'!AM69+Freight!AM74+Aviation!AM74+Other_Petrol!AM74+'Other_Natural Gas'!AM84))</f>
        <v>585.90930217458276</v>
      </c>
      <c r="AN200" s="37"/>
      <c r="AO200" s="88">
        <f>ROW()</f>
        <v>200</v>
      </c>
    </row>
    <row r="201" spans="1:41" ht="15" customHeight="1">
      <c r="A201" s="8"/>
      <c r="AO201" s="88">
        <f>ROW()</f>
        <v>201</v>
      </c>
    </row>
    <row r="202" spans="1:41" ht="15" customHeight="1">
      <c r="B202" s="8" t="s">
        <v>369</v>
      </c>
      <c r="G202" s="91" t="str">
        <f>CONCATENATE("Sum of this year's revenues in Row ",$AO$200, " and prior year's cumulative revenues in this Row (",AO202, ").")</f>
        <v>Sum of this year's revenues in Row 200 and prior year's cumulative revenues in this Row (202).</v>
      </c>
      <c r="Q202" s="264">
        <f t="shared" ref="Q202:AM202" si="56">P202+Q200</f>
        <v>362.47957012662982</v>
      </c>
      <c r="R202" s="264">
        <f t="shared" si="56"/>
        <v>733.48765753727957</v>
      </c>
      <c r="S202" s="264">
        <f t="shared" si="56"/>
        <v>1113.4494195123248</v>
      </c>
      <c r="T202" s="264">
        <f t="shared" si="56"/>
        <v>1502.4904419020777</v>
      </c>
      <c r="U202" s="264">
        <f t="shared" si="56"/>
        <v>1900.8367463254135</v>
      </c>
      <c r="V202" s="264">
        <f t="shared" si="56"/>
        <v>2308.4147974893676</v>
      </c>
      <c r="W202" s="264">
        <f t="shared" si="56"/>
        <v>2725.6515106317393</v>
      </c>
      <c r="X202" s="264">
        <f t="shared" si="56"/>
        <v>3152.7742590887651</v>
      </c>
      <c r="Y202" s="264">
        <f t="shared" si="56"/>
        <v>3590.0108819899683</v>
      </c>
      <c r="Z202" s="264">
        <f t="shared" si="56"/>
        <v>4037.6896920823133</v>
      </c>
      <c r="AA202" s="264">
        <f t="shared" si="56"/>
        <v>4495.3394836858461</v>
      </c>
      <c r="AB202" s="264">
        <f t="shared" si="56"/>
        <v>4962.6296672330946</v>
      </c>
      <c r="AC202" s="264">
        <f t="shared" si="56"/>
        <v>5439.7693442734944</v>
      </c>
      <c r="AD202" s="264">
        <f t="shared" si="56"/>
        <v>5926.867680334698</v>
      </c>
      <c r="AE202" s="264">
        <f t="shared" si="56"/>
        <v>6424.1339065330731</v>
      </c>
      <c r="AF202" s="264">
        <f t="shared" si="56"/>
        <v>6931.7773211888307</v>
      </c>
      <c r="AG202" s="264">
        <f t="shared" si="56"/>
        <v>7449.9072914450981</v>
      </c>
      <c r="AH202" s="264">
        <f t="shared" si="56"/>
        <v>7978.9332548902921</v>
      </c>
      <c r="AI202" s="264">
        <f t="shared" si="56"/>
        <v>8518.8647211831903</v>
      </c>
      <c r="AJ202" s="264">
        <f t="shared" si="56"/>
        <v>9070.2112736801246</v>
      </c>
      <c r="AK202" s="264">
        <f t="shared" si="56"/>
        <v>9633.1825710637586</v>
      </c>
      <c r="AL202" s="264">
        <f t="shared" si="56"/>
        <v>10207.373616498193</v>
      </c>
      <c r="AM202" s="264">
        <f t="shared" si="56"/>
        <v>10793.282918672776</v>
      </c>
      <c r="AO202" s="88">
        <f>ROW()</f>
        <v>202</v>
      </c>
    </row>
    <row r="203" spans="1:41" ht="15" customHeight="1">
      <c r="B203" s="32"/>
      <c r="G203" s="768" t="str">
        <f>CONCATENATE("Percentages in Row ",AO204, " reflect intent of a 2011 bill introduced by (former) Rep. Pete Stark to allocate 100% of Year-1 revenues to dividends, and, in all " &amp; "succeeding years, to do same while also applying $10/ton worth of carbon tax revenues to deficit reduction. Percentages don't reflect complicating factor " &amp; "of possible surcharges on some petroleum products, so should be considered approximate.")</f>
        <v>Percentages in Row 204 reflect intent of a 2011 bill introduced by (former) Rep. Pete Stark to allocate 100% of Year-1 revenues to dividends, and, in all succeeding years, to do same while also applying $10/ton worth of carbon tax revenues to deficit reduction. Percentages don't reflect complicating factor of possible surcharges on some petroleum products, so should be considered approximate.</v>
      </c>
      <c r="H203" s="738"/>
      <c r="I203" s="738"/>
      <c r="J203" s="738"/>
      <c r="K203" s="738"/>
      <c r="L203" s="738"/>
      <c r="M203" s="738"/>
      <c r="N203" s="738"/>
      <c r="O203" s="738"/>
      <c r="P203" s="738"/>
      <c r="AO203" s="88">
        <f>ROW()</f>
        <v>203</v>
      </c>
    </row>
    <row r="204" spans="1:41" ht="15" customHeight="1">
      <c r="B204" s="32" t="s">
        <v>773</v>
      </c>
      <c r="G204" s="738"/>
      <c r="H204" s="738"/>
      <c r="I204" s="738"/>
      <c r="J204" s="738"/>
      <c r="K204" s="738"/>
      <c r="L204" s="738"/>
      <c r="M204" s="738"/>
      <c r="N204" s="738"/>
      <c r="O204" s="738"/>
      <c r="P204" s="738"/>
      <c r="Q204" s="5">
        <v>0</v>
      </c>
      <c r="R204" s="5">
        <f t="shared" ref="R204:AM204" si="57">10/R96</f>
        <v>0.18048712190419627</v>
      </c>
      <c r="S204" s="5">
        <f t="shared" si="57"/>
        <v>0.18048712190419627</v>
      </c>
      <c r="T204" s="5">
        <f t="shared" si="57"/>
        <v>0.18048712190419627</v>
      </c>
      <c r="U204" s="5">
        <f t="shared" si="57"/>
        <v>0.18048712190419627</v>
      </c>
      <c r="V204" s="5">
        <f t="shared" si="57"/>
        <v>0.18048712190419627</v>
      </c>
      <c r="W204" s="5">
        <f t="shared" si="57"/>
        <v>0.18048712190419627</v>
      </c>
      <c r="X204" s="5">
        <f t="shared" si="57"/>
        <v>0.18048712190419627</v>
      </c>
      <c r="Y204" s="5">
        <f t="shared" si="57"/>
        <v>0.18048712190419627</v>
      </c>
      <c r="Z204" s="5">
        <f t="shared" si="57"/>
        <v>0.18048712190419627</v>
      </c>
      <c r="AA204" s="5">
        <f t="shared" si="57"/>
        <v>0.18048712190419627</v>
      </c>
      <c r="AB204" s="5">
        <f t="shared" si="57"/>
        <v>0.18048712190419627</v>
      </c>
      <c r="AC204" s="5">
        <f t="shared" si="57"/>
        <v>0.18048712190419627</v>
      </c>
      <c r="AD204" s="5">
        <f t="shared" si="57"/>
        <v>0.18048712190419627</v>
      </c>
      <c r="AE204" s="5">
        <f t="shared" si="57"/>
        <v>0.18048712190419627</v>
      </c>
      <c r="AF204" s="5">
        <f t="shared" si="57"/>
        <v>0.18048712190419627</v>
      </c>
      <c r="AG204" s="5">
        <f t="shared" si="57"/>
        <v>0.18048712190419627</v>
      </c>
      <c r="AH204" s="5">
        <f t="shared" si="57"/>
        <v>0.18048712190419627</v>
      </c>
      <c r="AI204" s="5">
        <f t="shared" si="57"/>
        <v>0.18048712190419627</v>
      </c>
      <c r="AJ204" s="5">
        <f t="shared" si="57"/>
        <v>0.18048712190419627</v>
      </c>
      <c r="AK204" s="5">
        <f t="shared" si="57"/>
        <v>0.18048712190419627</v>
      </c>
      <c r="AL204" s="5">
        <f t="shared" si="57"/>
        <v>0.18048712190419627</v>
      </c>
      <c r="AM204" s="5">
        <f t="shared" si="57"/>
        <v>0.18048712190419627</v>
      </c>
      <c r="AO204" s="88">
        <f>ROW()</f>
        <v>204</v>
      </c>
    </row>
    <row r="205" spans="1:41" ht="15" customHeight="1">
      <c r="B205" s="32"/>
      <c r="G205" s="738"/>
      <c r="H205" s="738"/>
      <c r="I205" s="738"/>
      <c r="J205" s="738"/>
      <c r="K205" s="738"/>
      <c r="L205" s="738"/>
      <c r="M205" s="738"/>
      <c r="N205" s="738"/>
      <c r="O205" s="738"/>
      <c r="P205" s="738"/>
      <c r="AO205" s="88">
        <f>ROW()</f>
        <v>205</v>
      </c>
    </row>
    <row r="206" spans="1:41" ht="15" customHeight="1">
      <c r="B206" s="8" t="s">
        <v>774</v>
      </c>
      <c r="G206" s="91" t="str">
        <f>CONCATENATE("Product of percents in Row ",AO204, " and amounts in Row ",AO200, ".")</f>
        <v>Product of percents in Row 204 and amounts in Row 200.</v>
      </c>
      <c r="Q206" s="265">
        <f t="shared" ref="Q206:AM206" si="58">Q204*Q200</f>
        <v>0</v>
      </c>
      <c r="R206" s="265">
        <f t="shared" si="58"/>
        <v>66.962181899928652</v>
      </c>
      <c r="S206" s="265">
        <f t="shared" si="58"/>
        <v>68.5782048525232</v>
      </c>
      <c r="T206" s="265">
        <f t="shared" si="58"/>
        <v>70.216894433792504</v>
      </c>
      <c r="U206" s="265">
        <f t="shared" si="58"/>
        <v>71.896378006540687</v>
      </c>
      <c r="V206" s="265">
        <f t="shared" si="58"/>
        <v>73.562589405903339</v>
      </c>
      <c r="W206" s="265">
        <f t="shared" si="58"/>
        <v>75.305853507833376</v>
      </c>
      <c r="X206" s="265">
        <f t="shared" si="58"/>
        <v>77.090155568818602</v>
      </c>
      <c r="Y206" s="265">
        <f t="shared" si="58"/>
        <v>78.915579658548523</v>
      </c>
      <c r="Z206" s="265">
        <f t="shared" si="58"/>
        <v>80.800259971062587</v>
      </c>
      <c r="AA206" s="265">
        <f t="shared" si="58"/>
        <v>82.599893726576795</v>
      </c>
      <c r="AB206" s="265">
        <f t="shared" si="58"/>
        <v>84.339860322526519</v>
      </c>
      <c r="AC206" s="265">
        <f t="shared" si="58"/>
        <v>86.117567055319498</v>
      </c>
      <c r="AD206" s="265">
        <f t="shared" si="58"/>
        <v>87.914976760009552</v>
      </c>
      <c r="AE206" s="265">
        <f t="shared" si="58"/>
        <v>89.75014998670575</v>
      </c>
      <c r="AF206" s="265">
        <f t="shared" si="58"/>
        <v>91.623098864836223</v>
      </c>
      <c r="AG206" s="265">
        <f t="shared" si="58"/>
        <v>93.515787103860504</v>
      </c>
      <c r="AH206" s="265">
        <f t="shared" si="58"/>
        <v>95.482373554817627</v>
      </c>
      <c r="AI206" s="265">
        <f t="shared" si="58"/>
        <v>97.45067637671788</v>
      </c>
      <c r="AJ206" s="265">
        <f t="shared" si="58"/>
        <v>99.510952431972584</v>
      </c>
      <c r="AK206" s="265">
        <f t="shared" si="58"/>
        <v>101.60906917944334</v>
      </c>
      <c r="AL206" s="265">
        <f t="shared" si="58"/>
        <v>103.6340892136226</v>
      </c>
      <c r="AM206" s="265">
        <f t="shared" si="58"/>
        <v>105.7490836463865</v>
      </c>
      <c r="AO206" s="88">
        <f>ROW()</f>
        <v>206</v>
      </c>
    </row>
    <row r="207" spans="1:41" ht="15" customHeight="1">
      <c r="B207" s="32"/>
      <c r="AO207" s="88">
        <f>ROW()</f>
        <v>207</v>
      </c>
    </row>
    <row r="208" spans="1:41" ht="15" customHeight="1">
      <c r="B208" s="8" t="s">
        <v>775</v>
      </c>
      <c r="G208" s="91" t="str">
        <f>CONCATENATE("Sum of this year's revenues in Row ",$AO$206, " and prior year's cumulative revenues in this Row (",AO208, ").")</f>
        <v>Sum of this year's revenues in Row 206 and prior year's cumulative revenues in this Row (208).</v>
      </c>
      <c r="Q208" s="264">
        <f>Q206</f>
        <v>0</v>
      </c>
      <c r="R208" s="264">
        <f t="shared" ref="R208:AM208" si="59">Q208+R206</f>
        <v>66.962181899928652</v>
      </c>
      <c r="S208" s="264">
        <f t="shared" si="59"/>
        <v>135.54038675245187</v>
      </c>
      <c r="T208" s="264">
        <f t="shared" si="59"/>
        <v>205.75728118624437</v>
      </c>
      <c r="U208" s="264">
        <f t="shared" si="59"/>
        <v>277.65365919278508</v>
      </c>
      <c r="V208" s="264">
        <f t="shared" si="59"/>
        <v>351.21624859868842</v>
      </c>
      <c r="W208" s="264">
        <f t="shared" si="59"/>
        <v>426.5221021065218</v>
      </c>
      <c r="X208" s="264">
        <f t="shared" si="59"/>
        <v>503.6122576753404</v>
      </c>
      <c r="Y208" s="264">
        <f t="shared" si="59"/>
        <v>582.5278373338889</v>
      </c>
      <c r="Z208" s="264">
        <f t="shared" si="59"/>
        <v>663.32809730495148</v>
      </c>
      <c r="AA208" s="264">
        <f t="shared" si="59"/>
        <v>745.92799103152834</v>
      </c>
      <c r="AB208" s="264">
        <f t="shared" si="59"/>
        <v>830.26785135405487</v>
      </c>
      <c r="AC208" s="264">
        <f t="shared" si="59"/>
        <v>916.38541840937432</v>
      </c>
      <c r="AD208" s="264">
        <f t="shared" si="59"/>
        <v>1004.3003951693838</v>
      </c>
      <c r="AE208" s="264">
        <f t="shared" si="59"/>
        <v>1094.0505451560896</v>
      </c>
      <c r="AF208" s="264">
        <f t="shared" si="59"/>
        <v>1185.6736440209258</v>
      </c>
      <c r="AG208" s="264">
        <f t="shared" si="59"/>
        <v>1279.1894311247863</v>
      </c>
      <c r="AH208" s="264">
        <f t="shared" si="59"/>
        <v>1374.6718046796041</v>
      </c>
      <c r="AI208" s="264">
        <f t="shared" si="59"/>
        <v>1472.1224810563219</v>
      </c>
      <c r="AJ208" s="264">
        <f t="shared" si="59"/>
        <v>1571.6334334882945</v>
      </c>
      <c r="AK208" s="264">
        <f t="shared" si="59"/>
        <v>1673.2425026677379</v>
      </c>
      <c r="AL208" s="264">
        <f t="shared" si="59"/>
        <v>1776.8765918813606</v>
      </c>
      <c r="AM208" s="264">
        <f t="shared" si="59"/>
        <v>1882.625675527747</v>
      </c>
      <c r="AO208" s="88">
        <f>ROW()</f>
        <v>208</v>
      </c>
    </row>
    <row r="209" spans="1:41" ht="15" customHeight="1">
      <c r="AO209" s="88">
        <f>ROW()</f>
        <v>209</v>
      </c>
    </row>
    <row r="210" spans="1:41" ht="15" customHeight="1">
      <c r="B210" s="8" t="s">
        <v>776</v>
      </c>
      <c r="G210" s="91" t="str">
        <f>CONCATENATE("Row ",$AO$202, " less Row ",AO208, ". These revenues are therefore available for 'tax-swapping' or 'dividending.'")</f>
        <v>Row 202 less Row 208. These revenues are therefore available for 'tax-swapping' or 'dividending.'</v>
      </c>
      <c r="Q210" s="264">
        <f t="shared" ref="Q210:AM210" si="60">Q202-Q208</f>
        <v>362.47957012662982</v>
      </c>
      <c r="R210" s="264">
        <f t="shared" si="60"/>
        <v>666.52547563735095</v>
      </c>
      <c r="S210" s="264">
        <f t="shared" si="60"/>
        <v>977.90903275987284</v>
      </c>
      <c r="T210" s="264">
        <f t="shared" si="60"/>
        <v>1296.7331607158333</v>
      </c>
      <c r="U210" s="264">
        <f t="shared" si="60"/>
        <v>1623.1830871326283</v>
      </c>
      <c r="V210" s="264">
        <f t="shared" si="60"/>
        <v>1957.1985488906791</v>
      </c>
      <c r="W210" s="264">
        <f t="shared" si="60"/>
        <v>2299.1294085252175</v>
      </c>
      <c r="X210" s="264">
        <f t="shared" si="60"/>
        <v>2649.1620014134246</v>
      </c>
      <c r="Y210" s="264">
        <f t="shared" si="60"/>
        <v>3007.4830446560795</v>
      </c>
      <c r="Z210" s="264">
        <f t="shared" si="60"/>
        <v>3374.3615947773619</v>
      </c>
      <c r="AA210" s="264">
        <f t="shared" si="60"/>
        <v>3749.411492654318</v>
      </c>
      <c r="AB210" s="264">
        <f t="shared" si="60"/>
        <v>4132.3618158790396</v>
      </c>
      <c r="AC210" s="264">
        <f t="shared" si="60"/>
        <v>4523.3839258641201</v>
      </c>
      <c r="AD210" s="264">
        <f t="shared" si="60"/>
        <v>4922.5672851653144</v>
      </c>
      <c r="AE210" s="264">
        <f t="shared" si="60"/>
        <v>5330.0833613769837</v>
      </c>
      <c r="AF210" s="264">
        <f t="shared" si="60"/>
        <v>5746.1036771679046</v>
      </c>
      <c r="AG210" s="264">
        <f t="shared" si="60"/>
        <v>6170.717860320312</v>
      </c>
      <c r="AH210" s="264">
        <f t="shared" si="60"/>
        <v>6604.2614502106881</v>
      </c>
      <c r="AI210" s="264">
        <f t="shared" si="60"/>
        <v>7046.7422401268686</v>
      </c>
      <c r="AJ210" s="264">
        <f t="shared" si="60"/>
        <v>7498.5778401918305</v>
      </c>
      <c r="AK210" s="264">
        <f t="shared" si="60"/>
        <v>7959.9400683960212</v>
      </c>
      <c r="AL210" s="264">
        <f t="shared" si="60"/>
        <v>8430.4970246168323</v>
      </c>
      <c r="AM210" s="264">
        <f t="shared" si="60"/>
        <v>8910.6572431450295</v>
      </c>
      <c r="AO210" s="88">
        <f>ROW()</f>
        <v>210</v>
      </c>
    </row>
    <row r="211" spans="1:41" ht="15" customHeight="1">
      <c r="AO211" s="88">
        <f>ROW()</f>
        <v>211</v>
      </c>
    </row>
    <row r="212" spans="1:41" s="7" customFormat="1" ht="15" customHeight="1">
      <c r="A212"/>
      <c r="B212" s="9" t="s">
        <v>604</v>
      </c>
      <c r="M212" s="140"/>
      <c r="N212" s="140"/>
      <c r="O212" s="140"/>
      <c r="P212" s="140"/>
      <c r="Q212" s="7">
        <f>R212+(R212-S212)</f>
        <v>318.87700000000001</v>
      </c>
      <c r="R212" s="7">
        <v>321.363</v>
      </c>
      <c r="S212" s="7">
        <v>323.84899999999999</v>
      </c>
      <c r="T212" s="7">
        <v>326.34800000000001</v>
      </c>
      <c r="U212" s="7">
        <v>328.85700000000003</v>
      </c>
      <c r="V212" s="7">
        <v>331.375</v>
      </c>
      <c r="W212" s="7">
        <v>333.89600000000002</v>
      </c>
      <c r="X212" s="7">
        <v>336.416</v>
      </c>
      <c r="Y212" s="7">
        <v>338.93</v>
      </c>
      <c r="Z212" s="7">
        <v>341.43599999999998</v>
      </c>
      <c r="AA212" s="7">
        <v>343.92899999999997</v>
      </c>
      <c r="AB212" s="7">
        <v>346.40699999999998</v>
      </c>
      <c r="AC212" s="7">
        <v>348.86700000000002</v>
      </c>
      <c r="AD212" s="7">
        <v>351.30399999999997</v>
      </c>
      <c r="AE212" s="7">
        <v>353.71800000000002</v>
      </c>
      <c r="AF212" s="7">
        <v>356.10700000000003</v>
      </c>
      <c r="AG212" s="7">
        <v>358.471</v>
      </c>
      <c r="AH212" s="7">
        <v>360.79199999999997</v>
      </c>
      <c r="AI212" s="7">
        <v>363.07</v>
      </c>
      <c r="AJ212" s="7">
        <v>365.30700000000002</v>
      </c>
      <c r="AK212" s="7">
        <v>367.50299999999999</v>
      </c>
      <c r="AL212" s="7">
        <v>369.66199999999998</v>
      </c>
      <c r="AM212" s="7">
        <v>371.78800000000001</v>
      </c>
      <c r="AO212" s="88">
        <f>ROW()</f>
        <v>212</v>
      </c>
    </row>
    <row r="213" spans="1:41" ht="15" customHeight="1">
      <c r="A213" s="7"/>
      <c r="B213" s="768" t="s">
        <v>810</v>
      </c>
      <c r="C213" s="738"/>
      <c r="D213" s="738"/>
      <c r="E213" s="738"/>
      <c r="F213" s="738"/>
      <c r="G213" s="738"/>
      <c r="H213" s="738"/>
      <c r="I213" s="738"/>
      <c r="J213" s="738"/>
      <c r="K213" s="738"/>
      <c r="L213" s="738"/>
      <c r="M213" s="787"/>
      <c r="N213" s="135"/>
      <c r="O213" s="135"/>
      <c r="P213" s="135"/>
      <c r="AO213" s="88">
        <f>ROW()</f>
        <v>213</v>
      </c>
    </row>
    <row r="214" spans="1:41" ht="15" customHeight="1">
      <c r="B214" s="738"/>
      <c r="C214" s="738"/>
      <c r="D214" s="738"/>
      <c r="E214" s="738"/>
      <c r="F214" s="738"/>
      <c r="G214" s="738"/>
      <c r="H214" s="738"/>
      <c r="I214" s="738"/>
      <c r="J214" s="738"/>
      <c r="K214" s="738"/>
      <c r="L214" s="738"/>
      <c r="M214" s="787"/>
      <c r="N214" s="135"/>
      <c r="O214" s="135"/>
      <c r="P214" s="135"/>
      <c r="AO214" s="88">
        <f>ROW()</f>
        <v>214</v>
      </c>
    </row>
    <row r="215" spans="1:41" ht="15" customHeight="1">
      <c r="AO215" s="88">
        <f>ROW()</f>
        <v>215</v>
      </c>
    </row>
    <row r="216" spans="1:41" ht="15" customHeight="1">
      <c r="B216" s="8" t="s">
        <v>779</v>
      </c>
      <c r="F216" s="91" t="str">
        <f>CONCATENATE("Assumes 100% of revenues are distributed equally among U.S. residents, i.e., Row ",AO200, " divided by Row ",AO212, "; multiply results by 2.5 for dividend per household.")</f>
        <v>Assumes 100% of revenues are distributed equally among U.S. residents, i.e., Row 200 divided by Row 212; multiply results by 2.5 for dividend per household.</v>
      </c>
      <c r="Q216" s="262">
        <f t="shared" ref="Q216:AM216" si="61">1000*Q200/Q212</f>
        <v>1136.7378962001958</v>
      </c>
      <c r="R216" s="262">
        <f t="shared" si="61"/>
        <v>1154.4828975664586</v>
      </c>
      <c r="S216" s="262">
        <f t="shared" si="61"/>
        <v>1173.268288538934</v>
      </c>
      <c r="T216" s="262">
        <f t="shared" si="61"/>
        <v>1192.1048156867914</v>
      </c>
      <c r="U216" s="262">
        <f t="shared" si="61"/>
        <v>1211.3055353035993</v>
      </c>
      <c r="V216" s="262">
        <f t="shared" si="61"/>
        <v>1229.9601694876023</v>
      </c>
      <c r="W216" s="262">
        <f t="shared" si="61"/>
        <v>1249.6008132543411</v>
      </c>
      <c r="X216" s="262">
        <f t="shared" si="61"/>
        <v>1269.6267373044859</v>
      </c>
      <c r="Y216" s="262">
        <f t="shared" si="61"/>
        <v>1290.0499303726522</v>
      </c>
      <c r="Z216" s="262">
        <f t="shared" si="61"/>
        <v>1311.1646402029808</v>
      </c>
      <c r="AA216" s="262">
        <f t="shared" si="61"/>
        <v>1330.651941544716</v>
      </c>
      <c r="AB216" s="262">
        <f t="shared" si="61"/>
        <v>1348.9628776186644</v>
      </c>
      <c r="AC216" s="262">
        <f t="shared" si="61"/>
        <v>1367.6836073357465</v>
      </c>
      <c r="AD216" s="262">
        <f t="shared" si="61"/>
        <v>1386.5436660590351</v>
      </c>
      <c r="AE216" s="262">
        <f t="shared" si="61"/>
        <v>1405.8267495529631</v>
      </c>
      <c r="AF216" s="262">
        <f t="shared" si="61"/>
        <v>1425.536186190549</v>
      </c>
      <c r="AG216" s="262">
        <f t="shared" si="61"/>
        <v>1445.388804830146</v>
      </c>
      <c r="AH216" s="262">
        <f t="shared" si="61"/>
        <v>1466.2907255293746</v>
      </c>
      <c r="AI216" s="262">
        <f t="shared" si="61"/>
        <v>1487.1277337507888</v>
      </c>
      <c r="AJ216" s="262">
        <f t="shared" si="61"/>
        <v>1509.2690599877214</v>
      </c>
      <c r="AK216" s="262">
        <f t="shared" si="61"/>
        <v>1531.8821815975195</v>
      </c>
      <c r="AL216" s="262">
        <f t="shared" si="61"/>
        <v>1553.2866386981461</v>
      </c>
      <c r="AM216" s="262">
        <f t="shared" si="61"/>
        <v>1575.9231125657168</v>
      </c>
      <c r="AO216" s="88">
        <f>ROW()</f>
        <v>216</v>
      </c>
    </row>
    <row r="217" spans="1:41" ht="15" customHeight="1">
      <c r="AO217" s="88">
        <f>ROW()</f>
        <v>217</v>
      </c>
    </row>
    <row r="218" spans="1:41" ht="15" customHeight="1">
      <c r="B218" s="8" t="s">
        <v>370</v>
      </c>
      <c r="E218" s="32"/>
      <c r="F218" s="91" t="str">
        <f>CONCATENATE("Same as note in Row ",AO216, ", except that revenue pie is shrunk by allocations to deficit reduction, so figures are Row ",AO216, " multiplied by complement of Row ",AO204, ".")</f>
        <v>Same as note in Row 216, except that revenue pie is shrunk by allocations to deficit reduction, so figures are Row 216 multiplied by complement of Row 204.</v>
      </c>
      <c r="Q218" s="262">
        <f t="shared" ref="Q218:AM218" si="62">Q216*(1-Q204)</f>
        <v>1136.7378962001958</v>
      </c>
      <c r="R218" s="262">
        <f t="shared" si="62"/>
        <v>946.11360209707152</v>
      </c>
      <c r="S218" s="262">
        <f t="shared" si="62"/>
        <v>961.50847191907974</v>
      </c>
      <c r="T218" s="262">
        <f t="shared" si="62"/>
        <v>976.94524849535014</v>
      </c>
      <c r="U218" s="262">
        <f t="shared" si="62"/>
        <v>992.68048549003083</v>
      </c>
      <c r="V218" s="262">
        <f t="shared" si="62"/>
        <v>1007.9681984399875</v>
      </c>
      <c r="W218" s="262">
        <f t="shared" si="62"/>
        <v>1024.063958940922</v>
      </c>
      <c r="X218" s="262">
        <f t="shared" si="62"/>
        <v>1040.4754615957843</v>
      </c>
      <c r="Y218" s="262">
        <f t="shared" si="62"/>
        <v>1057.2125313269835</v>
      </c>
      <c r="Z218" s="262">
        <f t="shared" si="62"/>
        <v>1074.5163079501938</v>
      </c>
      <c r="AA218" s="262">
        <f t="shared" si="62"/>
        <v>1090.4864023590794</v>
      </c>
      <c r="AB218" s="262">
        <f t="shared" si="62"/>
        <v>1105.4924502816691</v>
      </c>
      <c r="AC218" s="262">
        <f t="shared" si="62"/>
        <v>1120.8343293721687</v>
      </c>
      <c r="AD218" s="262">
        <f t="shared" si="62"/>
        <v>1136.2903903775468</v>
      </c>
      <c r="AE218" s="262">
        <f t="shared" si="62"/>
        <v>1152.0931256302174</v>
      </c>
      <c r="AF218" s="262">
        <f t="shared" si="62"/>
        <v>1168.2452627747323</v>
      </c>
      <c r="AG218" s="262">
        <f t="shared" si="62"/>
        <v>1184.5147394138069</v>
      </c>
      <c r="AH218" s="262">
        <f t="shared" si="62"/>
        <v>1201.644132603762</v>
      </c>
      <c r="AI218" s="262">
        <f t="shared" si="62"/>
        <v>1218.7203291821991</v>
      </c>
      <c r="AJ218" s="262">
        <f t="shared" si="62"/>
        <v>1236.8654311714859</v>
      </c>
      <c r="AK218" s="262">
        <f t="shared" si="62"/>
        <v>1255.3971755446619</v>
      </c>
      <c r="AL218" s="262">
        <f t="shared" si="62"/>
        <v>1272.9384037872746</v>
      </c>
      <c r="AM218" s="262">
        <f t="shared" si="62"/>
        <v>1291.4892856364279</v>
      </c>
      <c r="AO218" s="88">
        <f>ROW()</f>
        <v>218</v>
      </c>
    </row>
    <row r="219" spans="1:41" ht="15" customHeight="1">
      <c r="G219" s="126"/>
      <c r="H219" s="539" t="s">
        <v>780</v>
      </c>
      <c r="I219" s="530">
        <v>2.6</v>
      </c>
      <c r="J219" s="552" t="s">
        <v>781</v>
      </c>
      <c r="K219" s="123"/>
      <c r="L219" s="123"/>
      <c r="M219" s="123"/>
      <c r="N219" s="123"/>
      <c r="O219" s="540"/>
      <c r="AO219" s="88">
        <f>ROW()</f>
        <v>219</v>
      </c>
    </row>
    <row r="220" spans="1:41" ht="15" customHeight="1">
      <c r="B220" s="8" t="s">
        <v>778</v>
      </c>
      <c r="F220" s="91" t="str">
        <f>CONCATENATE("Per capita dividend in Row ",AO216, ", multiplied by persons per household in Cell I",AO$219, ".")</f>
        <v>Per capita dividend in Row 216, multiplied by persons per household in Cell I219.</v>
      </c>
      <c r="Q220" s="262">
        <f>Q216*$I$219</f>
        <v>2955.5185301205092</v>
      </c>
      <c r="R220" s="262">
        <f t="shared" ref="R220:AM220" si="63">R216*$I$219</f>
        <v>3001.6555336727924</v>
      </c>
      <c r="S220" s="262">
        <f t="shared" si="63"/>
        <v>3050.4975502012285</v>
      </c>
      <c r="T220" s="262">
        <f t="shared" si="63"/>
        <v>3099.4725207856577</v>
      </c>
      <c r="U220" s="262">
        <f t="shared" si="63"/>
        <v>3149.3943917893585</v>
      </c>
      <c r="V220" s="262">
        <f t="shared" si="63"/>
        <v>3197.896440667766</v>
      </c>
      <c r="W220" s="262">
        <f t="shared" si="63"/>
        <v>3248.962114461287</v>
      </c>
      <c r="X220" s="262">
        <f t="shared" si="63"/>
        <v>3301.0295169916635</v>
      </c>
      <c r="Y220" s="262">
        <f t="shared" si="63"/>
        <v>3354.129818968896</v>
      </c>
      <c r="Z220" s="262">
        <f t="shared" si="63"/>
        <v>3409.0280645277503</v>
      </c>
      <c r="AA220" s="262">
        <f t="shared" si="63"/>
        <v>3459.6950480162618</v>
      </c>
      <c r="AB220" s="262">
        <f t="shared" si="63"/>
        <v>3507.3034818085275</v>
      </c>
      <c r="AC220" s="262">
        <f t="shared" si="63"/>
        <v>3555.9773790729409</v>
      </c>
      <c r="AD220" s="262">
        <f t="shared" si="63"/>
        <v>3605.0135317534914</v>
      </c>
      <c r="AE220" s="262">
        <f t="shared" si="63"/>
        <v>3655.1495488377041</v>
      </c>
      <c r="AF220" s="262">
        <f t="shared" si="63"/>
        <v>3706.3940840954274</v>
      </c>
      <c r="AG220" s="262">
        <f t="shared" si="63"/>
        <v>3758.0108925583795</v>
      </c>
      <c r="AH220" s="262">
        <f t="shared" si="63"/>
        <v>3812.3558863763742</v>
      </c>
      <c r="AI220" s="262">
        <f t="shared" si="63"/>
        <v>3866.5321077520512</v>
      </c>
      <c r="AJ220" s="262">
        <f t="shared" si="63"/>
        <v>3924.0995559680759</v>
      </c>
      <c r="AK220" s="262">
        <f t="shared" si="63"/>
        <v>3982.8936721535511</v>
      </c>
      <c r="AL220" s="262">
        <f t="shared" si="63"/>
        <v>4038.5452606151803</v>
      </c>
      <c r="AM220" s="262">
        <f t="shared" si="63"/>
        <v>4097.4000926708641</v>
      </c>
      <c r="AO220" s="88">
        <f>ROW()</f>
        <v>220</v>
      </c>
    </row>
    <row r="221" spans="1:41" ht="15" customHeight="1">
      <c r="AO221" s="88">
        <f>ROW()</f>
        <v>221</v>
      </c>
    </row>
    <row r="222" spans="1:41" ht="15" customHeight="1">
      <c r="B222" s="8" t="s">
        <v>777</v>
      </c>
      <c r="F222" s="91" t="str">
        <f>CONCATENATE("Per capita dividend in Row ",AO218, ", multiplied by persons per household in Cell I",AO$219, ".")</f>
        <v>Per capita dividend in Row 218, multiplied by persons per household in Cell I219.</v>
      </c>
      <c r="Q222" s="262">
        <f>Q218*$I$219</f>
        <v>2955.5185301205092</v>
      </c>
      <c r="R222" s="262">
        <f t="shared" ref="R222:AM222" si="64">R218*$I$219</f>
        <v>2459.8953654523862</v>
      </c>
      <c r="S222" s="262">
        <f t="shared" si="64"/>
        <v>2499.9220269896073</v>
      </c>
      <c r="T222" s="262">
        <f t="shared" si="64"/>
        <v>2540.0576460879106</v>
      </c>
      <c r="U222" s="262">
        <f t="shared" si="64"/>
        <v>2580.9692622740804</v>
      </c>
      <c r="V222" s="262">
        <f t="shared" si="64"/>
        <v>2620.7173159439676</v>
      </c>
      <c r="W222" s="262">
        <f t="shared" si="64"/>
        <v>2662.5662932463974</v>
      </c>
      <c r="X222" s="262">
        <f t="shared" si="64"/>
        <v>2705.2362001490392</v>
      </c>
      <c r="Y222" s="262">
        <f t="shared" si="64"/>
        <v>2748.7525814501573</v>
      </c>
      <c r="Z222" s="262">
        <f t="shared" si="64"/>
        <v>2793.7424006705041</v>
      </c>
      <c r="AA222" s="262">
        <f t="shared" si="64"/>
        <v>2835.2646461336067</v>
      </c>
      <c r="AB222" s="262">
        <f t="shared" si="64"/>
        <v>2874.2803707323396</v>
      </c>
      <c r="AC222" s="262">
        <f t="shared" si="64"/>
        <v>2914.1692563676388</v>
      </c>
      <c r="AD222" s="262">
        <f t="shared" si="64"/>
        <v>2954.3550149816219</v>
      </c>
      <c r="AE222" s="262">
        <f t="shared" si="64"/>
        <v>2995.4421266385652</v>
      </c>
      <c r="AF222" s="262">
        <f t="shared" si="64"/>
        <v>3037.4376832143039</v>
      </c>
      <c r="AG222" s="262">
        <f t="shared" si="64"/>
        <v>3079.7383224758978</v>
      </c>
      <c r="AH222" s="262">
        <f t="shared" si="64"/>
        <v>3124.2747447697816</v>
      </c>
      <c r="AI222" s="262">
        <f t="shared" si="64"/>
        <v>3168.6728558737177</v>
      </c>
      <c r="AJ222" s="262">
        <f t="shared" si="64"/>
        <v>3215.8501210458635</v>
      </c>
      <c r="AK222" s="262">
        <f t="shared" si="64"/>
        <v>3264.032656416121</v>
      </c>
      <c r="AL222" s="262">
        <f t="shared" si="64"/>
        <v>3309.6398498469143</v>
      </c>
      <c r="AM222" s="262">
        <f t="shared" si="64"/>
        <v>3357.8721426547127</v>
      </c>
      <c r="AO222" s="88">
        <f>ROW()</f>
        <v>222</v>
      </c>
    </row>
    <row r="224" spans="1:41" ht="15" customHeight="1">
      <c r="B224" s="1" t="s">
        <v>925</v>
      </c>
    </row>
    <row r="226" spans="2:8" ht="15" customHeight="1">
      <c r="B226" s="8" t="s">
        <v>926</v>
      </c>
    </row>
    <row r="227" spans="2:8" ht="15" customHeight="1">
      <c r="B227" s="8"/>
      <c r="F227" s="798" t="s">
        <v>934</v>
      </c>
      <c r="G227" s="798" t="s">
        <v>931</v>
      </c>
      <c r="H227" s="798" t="s">
        <v>933</v>
      </c>
    </row>
    <row r="228" spans="2:8" ht="15" customHeight="1">
      <c r="B228" s="8"/>
      <c r="F228" s="798"/>
      <c r="G228" s="798"/>
      <c r="H228" s="798"/>
    </row>
    <row r="229" spans="2:8" ht="15" customHeight="1">
      <c r="F229" s="798"/>
      <c r="G229" s="798"/>
      <c r="H229" s="798"/>
    </row>
    <row r="230" spans="2:8" ht="15" customHeight="1">
      <c r="B230" s="32" t="s">
        <v>887</v>
      </c>
      <c r="F230" s="38">
        <f t="shared" ref="F230:F235" si="65">-Z139</f>
        <v>625.05918374198609</v>
      </c>
      <c r="G230" s="5">
        <f>Electricity!G107</f>
        <v>0.39203105740962396</v>
      </c>
      <c r="H230" s="38">
        <f t="shared" ref="H230:H235" si="66">G230*F230</f>
        <v>245.04261274596723</v>
      </c>
    </row>
    <row r="231" spans="2:8" ht="15" customHeight="1">
      <c r="B231" s="32" t="s">
        <v>927</v>
      </c>
      <c r="F231" s="38">
        <f t="shared" si="65"/>
        <v>141.96636801945988</v>
      </c>
      <c r="G231" s="5">
        <f>'Personal Ground Travel'!G99</f>
        <v>0.56439959436880283</v>
      </c>
      <c r="H231" s="38">
        <f t="shared" si="66"/>
        <v>80.125760524195343</v>
      </c>
    </row>
    <row r="232" spans="2:8" ht="15" customHeight="1">
      <c r="B232" s="32" t="s">
        <v>928</v>
      </c>
      <c r="F232" s="38">
        <f t="shared" si="65"/>
        <v>64.098355744207765</v>
      </c>
      <c r="G232" s="5">
        <f>Freight!G104</f>
        <v>0.6365338980337728</v>
      </c>
      <c r="H232" s="38">
        <f t="shared" si="66"/>
        <v>40.800776239416038</v>
      </c>
    </row>
    <row r="233" spans="2:8" ht="15" customHeight="1">
      <c r="B233" s="32" t="s">
        <v>889</v>
      </c>
      <c r="F233" s="38">
        <f t="shared" si="65"/>
        <v>23.563222567647358</v>
      </c>
      <c r="G233" s="5">
        <f>Aviation!G104</f>
        <v>0.96929715189451815</v>
      </c>
      <c r="H233" s="38">
        <f t="shared" si="66"/>
        <v>22.839764524277218</v>
      </c>
    </row>
    <row r="234" spans="2:8" ht="15" customHeight="1">
      <c r="B234" s="32" t="s">
        <v>929</v>
      </c>
      <c r="F234" s="38">
        <f t="shared" si="65"/>
        <v>89.140700192960367</v>
      </c>
      <c r="G234" s="5">
        <f>Other_Petrol!G108</f>
        <v>0.61255511547375996</v>
      </c>
      <c r="H234" s="38">
        <f t="shared" si="66"/>
        <v>54.603591900110651</v>
      </c>
    </row>
    <row r="235" spans="2:8" ht="15" customHeight="1">
      <c r="B235" s="32" t="s">
        <v>930</v>
      </c>
      <c r="F235" s="38">
        <f t="shared" si="65"/>
        <v>144.35749181617689</v>
      </c>
      <c r="G235" s="5">
        <v>1</v>
      </c>
      <c r="H235" s="38">
        <f t="shared" si="66"/>
        <v>144.35749181617689</v>
      </c>
    </row>
    <row r="236" spans="2:8" ht="15" customHeight="1">
      <c r="B236" s="134" t="s">
        <v>932</v>
      </c>
      <c r="F236" s="25">
        <f>SUM(F230:F235)</f>
        <v>1088.1853220824382</v>
      </c>
      <c r="G236" s="11">
        <f>H236/F236</f>
        <v>0.54013777416638908</v>
      </c>
      <c r="H236" s="25">
        <f>SUM(H230:H235)</f>
        <v>587.76999775014338</v>
      </c>
    </row>
    <row r="237" spans="2:8" ht="15" customHeight="1">
      <c r="B237" s="134" t="s">
        <v>936</v>
      </c>
      <c r="F237" s="38">
        <f>SUM(F231:F235)</f>
        <v>463.12613834045226</v>
      </c>
      <c r="G237" s="36">
        <f>H237/F237</f>
        <v>0.74003032139859737</v>
      </c>
      <c r="H237" s="38">
        <f>SUM(H231:H235)</f>
        <v>342.72738500417614</v>
      </c>
    </row>
    <row r="244" spans="23:41" ht="15" customHeight="1">
      <c r="W244" s="23"/>
      <c r="AO244" s="88"/>
    </row>
  </sheetData>
  <mergeCells count="50">
    <mergeCell ref="F227:F229"/>
    <mergeCell ref="G227:G229"/>
    <mergeCell ref="H227:H229"/>
    <mergeCell ref="G203:P205"/>
    <mergeCell ref="N112:N115"/>
    <mergeCell ref="P112:P115"/>
    <mergeCell ref="O112:O115"/>
    <mergeCell ref="B213:M214"/>
    <mergeCell ref="M112:M115"/>
    <mergeCell ref="K112:K115"/>
    <mergeCell ref="F118:F120"/>
    <mergeCell ref="L81:M83"/>
    <mergeCell ref="J71:J72"/>
    <mergeCell ref="D199:I199"/>
    <mergeCell ref="G107:G109"/>
    <mergeCell ref="H107:H109"/>
    <mergeCell ref="B79:H81"/>
    <mergeCell ref="L73:M75"/>
    <mergeCell ref="L77:O79"/>
    <mergeCell ref="B71:H72"/>
    <mergeCell ref="S113:V115"/>
    <mergeCell ref="Q112:Q115"/>
    <mergeCell ref="B84:H86"/>
    <mergeCell ref="Q100:R100"/>
    <mergeCell ref="S100:T100"/>
    <mergeCell ref="H101:H102"/>
    <mergeCell ref="L112:L115"/>
    <mergeCell ref="T101:T102"/>
    <mergeCell ref="R101:R102"/>
    <mergeCell ref="G100:H100"/>
    <mergeCell ref="B108:E109"/>
    <mergeCell ref="B69:F70"/>
    <mergeCell ref="J101:J102"/>
    <mergeCell ref="B24:E25"/>
    <mergeCell ref="F24:K25"/>
    <mergeCell ref="B29:F30"/>
    <mergeCell ref="G29:G30"/>
    <mergeCell ref="B46:J48"/>
    <mergeCell ref="B76:I77"/>
    <mergeCell ref="I100:J100"/>
    <mergeCell ref="B32:K35"/>
    <mergeCell ref="B50:J52"/>
    <mergeCell ref="B61:J62"/>
    <mergeCell ref="K61:K62"/>
    <mergeCell ref="L3:Q4"/>
    <mergeCell ref="B56:J57"/>
    <mergeCell ref="B64:I65"/>
    <mergeCell ref="J64:L66"/>
    <mergeCell ref="B15:F17"/>
    <mergeCell ref="B5:J7"/>
  </mergeCells>
  <phoneticPr fontId="3" type="noConversion"/>
  <dataValidations disablePrompts="1" count="1">
    <dataValidation type="list" allowBlank="1" showInputMessage="1" showErrorMessage="1" sqref="K71">
      <formula1>#REF!</formula1>
    </dataValidation>
  </dataValidations>
  <hyperlinks>
    <hyperlink ref="E20" r:id="rId1" display="here."/>
    <hyperlink ref="J20" r:id="rId2"/>
    <hyperlink ref="G37" location="Inputs" display="here"/>
    <hyperlink ref="G38" location="Results" display="here."/>
    <hyperlink ref="G39" location="Graph_CO2!A41" display="here."/>
    <hyperlink ref="G40" location="Graph_Oil!A34" display="here"/>
    <hyperlink ref="G148" location="Graph_CO2!A41" display="here."/>
    <hyperlink ref="I174" location="Graph_Oil!A27" display="here"/>
    <hyperlink ref="G41" location="Graph_Revenue!A42" display="here"/>
    <hyperlink ref="H198" location="Graph_Revenue!A37" display="here"/>
    <hyperlink ref="G42" location="Index!A1" display="here"/>
    <hyperlink ref="Q14" location="Graph_CO2!A41" display="here."/>
    <hyperlink ref="Q25" location="Graph_Revenue!A37" display="here"/>
    <hyperlink ref="Q27" location="Graph_Oil!A27" display="here"/>
    <hyperlink ref="G29" location="Graph_Oil!A34" display="here"/>
    <hyperlink ref="G29:G30" location="Setting!A1" display="here"/>
    <hyperlink ref="G22" r:id="rId3"/>
    <hyperlink ref="F24" r:id="rId4"/>
    <hyperlink ref="B10" r:id="rId5"/>
    <hyperlink ref="B13" r:id="rId6"/>
  </hyperlinks>
  <printOptions gridLines="1"/>
  <pageMargins left="0.52" right="0.42" top="1" bottom="1" header="0.5" footer="0.5"/>
  <pageSetup orientation="portrait"/>
  <headerFooter alignWithMargins="0"/>
  <rowBreaks count="1" manualBreakCount="1">
    <brk id="58" min="1" max="32" man="1"/>
  </rowBreaks>
  <drawing r:id="rId7"/>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61"/>
  <sheetViews>
    <sheetView workbookViewId="0"/>
  </sheetViews>
  <sheetFormatPr baseColWidth="10" defaultColWidth="8.83203125" defaultRowHeight="14" customHeight="1" x14ac:dyDescent="0"/>
  <cols>
    <col min="1" max="1" width="2.6640625" customWidth="1"/>
    <col min="2" max="12" width="8.83203125" customWidth="1"/>
    <col min="13" max="13" width="8.83203125" style="27" customWidth="1"/>
    <col min="14" max="16" width="8.83203125" style="71" customWidth="1"/>
    <col min="17" max="17" width="8.83203125" style="270" customWidth="1"/>
    <col min="18" max="39" width="8.6640625" customWidth="1"/>
    <col min="42" max="42" width="2.33203125" customWidth="1"/>
  </cols>
  <sheetData>
    <row r="1" spans="2:42" ht="14" customHeight="1">
      <c r="B1" s="59" t="s">
        <v>163</v>
      </c>
      <c r="P1" s="238">
        <f>Summary!F3</f>
        <v>41674</v>
      </c>
      <c r="AP1" s="7">
        <f>ROW()</f>
        <v>1</v>
      </c>
    </row>
    <row r="2" spans="2:42" ht="14" customHeight="1" thickBot="1">
      <c r="B2" s="1"/>
      <c r="M2" s="71"/>
      <c r="AP2" s="7">
        <f>ROW()</f>
        <v>2</v>
      </c>
    </row>
    <row r="3" spans="2:42" ht="14" customHeight="1">
      <c r="B3" s="815" t="s">
        <v>171</v>
      </c>
      <c r="C3" s="738"/>
      <c r="D3" s="738"/>
      <c r="E3" s="738"/>
      <c r="F3" s="738"/>
      <c r="G3" s="815" t="s">
        <v>616</v>
      </c>
      <c r="H3" s="738"/>
      <c r="I3" s="738"/>
      <c r="K3" s="356" t="str">
        <f>CONCATENATE("Key Tax Inputs (copied from 'Summary', Rows ",Summary!AO67,"-",Summary!AO79,")")</f>
        <v>Key Tax Inputs (copied from 'Summary', Rows 67-79)</v>
      </c>
      <c r="L3" s="357"/>
      <c r="M3" s="357"/>
      <c r="N3" s="357"/>
      <c r="O3" s="358"/>
      <c r="Q3" s="869" t="str">
        <f>CONCATENATE("Tax is from 'Baucus' tab, Cell G",Baucus!M50,", converted from tonnes to tons.")</f>
        <v>Tax is from 'Baucus' tab, Cell G50, converted from tonnes to tons.</v>
      </c>
      <c r="R3" s="870"/>
      <c r="AP3" s="7">
        <f>ROW()</f>
        <v>3</v>
      </c>
    </row>
    <row r="4" spans="2:42" ht="14" customHeight="1">
      <c r="B4" s="738"/>
      <c r="C4" s="738"/>
      <c r="D4" s="738"/>
      <c r="E4" s="738"/>
      <c r="F4" s="738"/>
      <c r="G4" s="738"/>
      <c r="H4" s="738"/>
      <c r="I4" s="738"/>
      <c r="K4" s="359" t="s">
        <v>493</v>
      </c>
      <c r="L4" s="71"/>
      <c r="M4" s="71"/>
      <c r="O4" s="729">
        <f>Baucus!G50/Parameters!H14*Parameters!H15</f>
        <v>102.17747870429761</v>
      </c>
      <c r="Q4" s="871"/>
      <c r="R4" s="872"/>
      <c r="AP4" s="7">
        <f>ROW()</f>
        <v>4</v>
      </c>
    </row>
    <row r="5" spans="2:42" ht="14" customHeight="1">
      <c r="B5" s="738"/>
      <c r="C5" s="738"/>
      <c r="D5" s="738"/>
      <c r="E5" s="738"/>
      <c r="F5" s="738"/>
      <c r="G5" s="738"/>
      <c r="H5" s="738"/>
      <c r="I5" s="738"/>
      <c r="K5" s="359" t="s">
        <v>494</v>
      </c>
      <c r="L5" s="71"/>
      <c r="M5" s="71"/>
      <c r="O5" s="361" t="str">
        <f>IF(Summary!J69=1,"By Constant Amount","By Constant Percent")</f>
        <v>By Constant Amount</v>
      </c>
      <c r="Q5" s="873"/>
      <c r="R5" s="874"/>
      <c r="AP5" s="7">
        <f>ROW()</f>
        <v>5</v>
      </c>
    </row>
    <row r="6" spans="2:42" ht="14" customHeight="1">
      <c r="B6" s="1"/>
      <c r="I6" s="3"/>
      <c r="K6" s="359" t="s">
        <v>495</v>
      </c>
      <c r="L6" s="71"/>
      <c r="M6" s="71"/>
      <c r="N6"/>
      <c r="O6" s="360" t="str">
        <f>IF(Summary!$J$69=1,CONCATENATE("$",Summary!$J$71,""),CONCATENATE("",Summary!$J$75*100,"%"))</f>
        <v>$0</v>
      </c>
      <c r="AP6" s="7">
        <f>ROW()</f>
        <v>6</v>
      </c>
    </row>
    <row r="7" spans="2:42" ht="14" customHeight="1" thickBot="1">
      <c r="B7" s="13" t="str">
        <f>CONCATENATE("Note: This worksheet is pre-formatted to print to four pages. Print area extends to ",AI13, ".")</f>
        <v>Note: This worksheet is pre-formatted to print to four pages. Print area extends to 2033.</v>
      </c>
      <c r="H7" s="3"/>
      <c r="K7" s="362" t="s">
        <v>496</v>
      </c>
      <c r="L7" s="363"/>
      <c r="M7" s="363"/>
      <c r="N7" s="363"/>
      <c r="O7" s="364" t="str">
        <f>Summary!J79</f>
        <v>Real</v>
      </c>
      <c r="AP7" s="7">
        <f>ROW()</f>
        <v>7</v>
      </c>
    </row>
    <row r="8" spans="2:42" ht="14" customHeight="1">
      <c r="B8" s="13"/>
      <c r="H8" s="3"/>
      <c r="J8" s="53"/>
      <c r="K8" s="12"/>
      <c r="L8" s="162"/>
      <c r="M8" s="162"/>
      <c r="N8" s="162"/>
      <c r="O8" s="162"/>
      <c r="P8" s="162"/>
      <c r="Q8" s="332"/>
      <c r="R8" s="12"/>
      <c r="S8" s="12"/>
      <c r="T8" s="12"/>
      <c r="U8" s="12"/>
      <c r="V8" s="12"/>
      <c r="W8" s="12"/>
      <c r="X8" s="12"/>
      <c r="Y8" s="12"/>
      <c r="Z8" s="12"/>
      <c r="AA8" s="12"/>
      <c r="AB8" s="12"/>
      <c r="AC8" s="12"/>
      <c r="AD8" s="12"/>
      <c r="AE8" s="12"/>
      <c r="AF8" s="12"/>
      <c r="AG8" s="12"/>
      <c r="AH8" s="12"/>
      <c r="AI8" s="12"/>
      <c r="AJ8" s="12"/>
      <c r="AK8" s="12"/>
      <c r="AL8" s="12"/>
      <c r="AM8" s="12"/>
      <c r="AP8" s="7">
        <f>ROW()</f>
        <v>8</v>
      </c>
    </row>
    <row r="9" spans="2:42" ht="14" customHeight="1">
      <c r="B9" s="826" t="s">
        <v>612</v>
      </c>
      <c r="C9" s="768"/>
      <c r="D9" s="768"/>
      <c r="E9" s="768"/>
      <c r="F9" s="768"/>
      <c r="G9" s="768"/>
      <c r="H9" s="768"/>
      <c r="I9" s="799" t="s">
        <v>185</v>
      </c>
      <c r="J9" s="799" t="s">
        <v>185</v>
      </c>
      <c r="K9" s="799" t="s">
        <v>185</v>
      </c>
      <c r="L9" s="799" t="s">
        <v>185</v>
      </c>
      <c r="M9" s="799" t="s">
        <v>185</v>
      </c>
      <c r="N9" s="799" t="s">
        <v>185</v>
      </c>
      <c r="O9" s="799" t="s">
        <v>185</v>
      </c>
      <c r="P9" s="799" t="s">
        <v>185</v>
      </c>
      <c r="Q9" s="765" t="s">
        <v>88</v>
      </c>
      <c r="R9" s="12"/>
      <c r="S9" s="12"/>
      <c r="T9" s="12"/>
      <c r="U9" s="12"/>
      <c r="V9" s="12"/>
      <c r="W9" s="12"/>
      <c r="X9" s="12"/>
      <c r="Y9" s="12"/>
      <c r="Z9" s="12"/>
      <c r="AA9" s="12"/>
      <c r="AB9" s="12"/>
      <c r="AC9" s="12"/>
      <c r="AD9" s="12"/>
      <c r="AE9" s="12"/>
      <c r="AF9" s="12"/>
      <c r="AG9" s="12"/>
      <c r="AH9" s="12"/>
      <c r="AI9" s="12"/>
      <c r="AJ9" s="12"/>
      <c r="AK9" s="12"/>
      <c r="AL9" s="12"/>
      <c r="AM9" s="12"/>
      <c r="AP9" s="7">
        <f>ROW()</f>
        <v>9</v>
      </c>
    </row>
    <row r="10" spans="2:42" ht="14" customHeight="1">
      <c r="B10" s="768"/>
      <c r="C10" s="768"/>
      <c r="D10" s="768"/>
      <c r="E10" s="768"/>
      <c r="F10" s="768"/>
      <c r="G10" s="768"/>
      <c r="H10" s="768"/>
      <c r="I10" s="827"/>
      <c r="J10" s="827"/>
      <c r="K10" s="827"/>
      <c r="L10" s="827"/>
      <c r="M10" s="827"/>
      <c r="N10" s="827"/>
      <c r="O10" s="827"/>
      <c r="P10" s="827"/>
      <c r="Q10" s="886"/>
      <c r="R10" s="12"/>
      <c r="S10" s="12"/>
      <c r="T10" s="12"/>
      <c r="U10" s="12"/>
      <c r="V10" s="12"/>
      <c r="W10" s="12"/>
      <c r="X10" s="12"/>
      <c r="Y10" s="12"/>
      <c r="Z10" s="12"/>
      <c r="AA10" s="12"/>
      <c r="AB10" s="12"/>
      <c r="AC10" s="12"/>
      <c r="AD10" s="12"/>
      <c r="AE10" s="12"/>
      <c r="AF10" s="12"/>
      <c r="AG10" s="12"/>
      <c r="AH10" s="12"/>
      <c r="AI10" s="12"/>
      <c r="AJ10" s="12"/>
      <c r="AK10" s="12"/>
      <c r="AL10" s="12"/>
      <c r="AM10" s="12"/>
      <c r="AP10" s="7">
        <f>ROW()</f>
        <v>10</v>
      </c>
    </row>
    <row r="11" spans="2:42" ht="14" customHeight="1">
      <c r="I11" s="827"/>
      <c r="J11" s="827"/>
      <c r="K11" s="827"/>
      <c r="L11" s="827"/>
      <c r="M11" s="827"/>
      <c r="N11" s="827"/>
      <c r="O11" s="827"/>
      <c r="P11" s="827"/>
      <c r="Q11" s="886"/>
      <c r="R11" s="12"/>
      <c r="S11" s="12"/>
      <c r="T11" s="12"/>
      <c r="U11" s="12"/>
      <c r="V11" s="12"/>
      <c r="AP11" s="7">
        <f>ROW()</f>
        <v>11</v>
      </c>
    </row>
    <row r="12" spans="2:42" ht="14" customHeight="1">
      <c r="B12" s="54" t="s">
        <v>611</v>
      </c>
      <c r="H12" s="53"/>
      <c r="I12" s="827"/>
      <c r="J12" s="827"/>
      <c r="K12" s="827"/>
      <c r="L12" s="827"/>
      <c r="M12" s="827"/>
      <c r="N12" s="827"/>
      <c r="O12" s="827"/>
      <c r="P12" s="827"/>
      <c r="Q12" s="887"/>
      <c r="AP12" s="7">
        <f>ROW()</f>
        <v>12</v>
      </c>
    </row>
    <row r="13" spans="2:42" ht="14" customHeight="1">
      <c r="B13" s="60" t="s">
        <v>610</v>
      </c>
      <c r="I13" s="132">
        <f>Summary!I116</f>
        <v>2005</v>
      </c>
      <c r="J13" s="132">
        <f>Summary!J116</f>
        <v>2006</v>
      </c>
      <c r="K13" s="132">
        <f>Summary!K116</f>
        <v>2007</v>
      </c>
      <c r="L13" s="132">
        <f>Summary!L116</f>
        <v>2008</v>
      </c>
      <c r="M13" s="132">
        <f>Summary!M116</f>
        <v>2009</v>
      </c>
      <c r="N13" s="132">
        <f>Summary!N116</f>
        <v>2010</v>
      </c>
      <c r="O13" s="132">
        <f>Summary!O116</f>
        <v>2011</v>
      </c>
      <c r="P13" s="132">
        <f>Summary!P116</f>
        <v>2012</v>
      </c>
      <c r="Q13" s="108">
        <f>Summary!Q116</f>
        <v>2015</v>
      </c>
      <c r="R13" s="12">
        <f>Q13+1</f>
        <v>2016</v>
      </c>
      <c r="S13" s="12">
        <f t="shared" ref="S13:AM13" si="0">R13+1</f>
        <v>2017</v>
      </c>
      <c r="T13" s="12">
        <f t="shared" si="0"/>
        <v>2018</v>
      </c>
      <c r="U13" s="12">
        <f t="shared" si="0"/>
        <v>2019</v>
      </c>
      <c r="V13" s="12">
        <f t="shared" si="0"/>
        <v>2020</v>
      </c>
      <c r="W13" s="12">
        <f t="shared" si="0"/>
        <v>2021</v>
      </c>
      <c r="X13" s="12">
        <f t="shared" si="0"/>
        <v>2022</v>
      </c>
      <c r="Y13" s="12">
        <f t="shared" si="0"/>
        <v>2023</v>
      </c>
      <c r="Z13" s="12">
        <f t="shared" si="0"/>
        <v>2024</v>
      </c>
      <c r="AA13" s="12">
        <f t="shared" si="0"/>
        <v>2025</v>
      </c>
      <c r="AB13" s="12">
        <f t="shared" si="0"/>
        <v>2026</v>
      </c>
      <c r="AC13" s="12">
        <f t="shared" si="0"/>
        <v>2027</v>
      </c>
      <c r="AD13" s="12">
        <f t="shared" si="0"/>
        <v>2028</v>
      </c>
      <c r="AE13" s="12">
        <f t="shared" si="0"/>
        <v>2029</v>
      </c>
      <c r="AF13" s="12">
        <f t="shared" si="0"/>
        <v>2030</v>
      </c>
      <c r="AG13" s="12">
        <f t="shared" si="0"/>
        <v>2031</v>
      </c>
      <c r="AH13" s="12">
        <f t="shared" si="0"/>
        <v>2032</v>
      </c>
      <c r="AI13" s="12">
        <f t="shared" si="0"/>
        <v>2033</v>
      </c>
      <c r="AJ13" s="12">
        <f t="shared" si="0"/>
        <v>2034</v>
      </c>
      <c r="AK13" s="12">
        <f t="shared" si="0"/>
        <v>2035</v>
      </c>
      <c r="AL13" s="12">
        <f t="shared" si="0"/>
        <v>2036</v>
      </c>
      <c r="AM13" s="12">
        <f t="shared" si="0"/>
        <v>2037</v>
      </c>
      <c r="AP13" s="7">
        <f>ROW()</f>
        <v>13</v>
      </c>
    </row>
    <row r="14" spans="2:42" ht="14" customHeight="1">
      <c r="B14" s="91"/>
      <c r="H14" s="51"/>
      <c r="I14" s="51"/>
      <c r="J14" s="51"/>
      <c r="M14" s="71"/>
      <c r="AP14" s="7">
        <f>ROW()</f>
        <v>14</v>
      </c>
    </row>
    <row r="15" spans="2:42" s="352" customFormat="1" ht="14" customHeight="1">
      <c r="B15" s="352" t="s">
        <v>221</v>
      </c>
      <c r="M15" s="352">
        <f>Summary!L94</f>
        <v>0</v>
      </c>
      <c r="N15" s="352">
        <f>Summary!M94</f>
        <v>0</v>
      </c>
      <c r="O15" s="352">
        <f>Summary!O94</f>
        <v>0</v>
      </c>
      <c r="P15" s="353">
        <f>Summary!P94</f>
        <v>0</v>
      </c>
      <c r="Q15" s="354">
        <f>Summary!Q94</f>
        <v>1</v>
      </c>
      <c r="R15" s="352">
        <f>Summary!R94</f>
        <v>2</v>
      </c>
      <c r="S15" s="352">
        <f>Summary!S94</f>
        <v>3</v>
      </c>
      <c r="T15" s="352">
        <f>Summary!T94</f>
        <v>4</v>
      </c>
      <c r="U15" s="352">
        <f>Summary!U94</f>
        <v>5</v>
      </c>
      <c r="V15" s="352">
        <f>Summary!V94</f>
        <v>6</v>
      </c>
      <c r="W15" s="352">
        <f>Summary!W94</f>
        <v>7</v>
      </c>
      <c r="X15" s="352">
        <f>Summary!X94</f>
        <v>8</v>
      </c>
      <c r="Y15" s="352">
        <f>Summary!Y94</f>
        <v>9</v>
      </c>
      <c r="Z15" s="352">
        <f>Summary!Z94</f>
        <v>10</v>
      </c>
      <c r="AA15" s="352">
        <f>Summary!AA94</f>
        <v>11</v>
      </c>
      <c r="AB15" s="352">
        <f>Summary!AB94</f>
        <v>12</v>
      </c>
      <c r="AC15" s="352">
        <f>Summary!AC94</f>
        <v>13</v>
      </c>
      <c r="AD15" s="352">
        <f>Summary!AD94</f>
        <v>14</v>
      </c>
      <c r="AE15" s="352">
        <f>Summary!AE94</f>
        <v>15</v>
      </c>
      <c r="AF15" s="352">
        <f>Summary!AF94</f>
        <v>16</v>
      </c>
      <c r="AG15" s="352">
        <f>Summary!AG94</f>
        <v>17</v>
      </c>
      <c r="AH15" s="352">
        <f>Summary!AH94</f>
        <v>18</v>
      </c>
      <c r="AI15" s="352">
        <f>Summary!AI94</f>
        <v>19</v>
      </c>
      <c r="AJ15" s="352">
        <f>Summary!AJ94</f>
        <v>20</v>
      </c>
      <c r="AK15" s="352">
        <f>Summary!AK94</f>
        <v>21</v>
      </c>
      <c r="AL15" s="352">
        <f>Summary!AL94</f>
        <v>22</v>
      </c>
      <c r="AM15" s="352">
        <f>Summary!AM94</f>
        <v>23</v>
      </c>
      <c r="AP15" s="355">
        <f>ROW()</f>
        <v>15</v>
      </c>
    </row>
    <row r="16" spans="2:42" ht="14" customHeight="1">
      <c r="B16" s="352" t="str">
        <f>CONCATENATE("Tax in year shown, per ton of CO2 (taken directly from 'Summary' tab, Row ",Summary!AO97, ")")</f>
        <v>Tax in year shown, per ton of CO2 (taken directly from 'Summary' tab, Row 97)</v>
      </c>
      <c r="H16" s="2"/>
      <c r="I16" s="2"/>
      <c r="J16" s="2"/>
      <c r="M16" s="469">
        <f t="shared" ref="M16:O17" si="1">N16</f>
        <v>0</v>
      </c>
      <c r="N16" s="469">
        <f t="shared" si="1"/>
        <v>0</v>
      </c>
      <c r="O16" s="469">
        <f t="shared" si="1"/>
        <v>0</v>
      </c>
      <c r="P16" s="470">
        <f>Summary!P97</f>
        <v>0</v>
      </c>
      <c r="Q16" s="469">
        <f>Summary!Q97*Baucus!$G$50/Baucus!$E$50</f>
        <v>102.17747870429758</v>
      </c>
      <c r="R16" s="469">
        <f>Summary!R97*Baucus!$G$50/Baucus!$E$50</f>
        <v>103.84735595940074</v>
      </c>
      <c r="S16" s="469">
        <f>Summary!S97*Baucus!$G$50/Baucus!$E$50</f>
        <v>105.54452386683229</v>
      </c>
      <c r="T16" s="469">
        <f>Summary!T97*Baucus!$G$50/Baucus!$E$50</f>
        <v>107.26942843524479</v>
      </c>
      <c r="U16" s="469">
        <f>Summary!U97*Baucus!$G$50/Baucus!$E$50</f>
        <v>109.02252296236973</v>
      </c>
      <c r="V16" s="469">
        <f>Summary!V97*Baucus!$G$50/Baucus!$E$50</f>
        <v>110.80426815414226</v>
      </c>
      <c r="W16" s="469">
        <f>Summary!W97*Baucus!$G$50/Baucus!$E$50</f>
        <v>112.61513224577274</v>
      </c>
      <c r="X16" s="469">
        <f>Summary!X97*Baucus!$G$50/Baucus!$E$50</f>
        <v>114.45559112479715</v>
      </c>
      <c r="Y16" s="469">
        <f>Summary!Y97*Baucus!$G$50/Baucus!$E$50</f>
        <v>116.32612845613806</v>
      </c>
      <c r="Z16" s="469">
        <f>Summary!Z97*Baucus!$G$50/Baucus!$E$50</f>
        <v>118.22723580921023</v>
      </c>
      <c r="AA16" s="469">
        <f>Summary!AA97*Baucus!$G$50/Baucus!$E$50</f>
        <v>120.15941278710243</v>
      </c>
      <c r="AB16" s="469">
        <f>Summary!AB97*Baucus!$G$50/Baucus!$E$50</f>
        <v>122.12316715787156</v>
      </c>
      <c r="AC16" s="469">
        <f>Summary!AC97*Baucus!$G$50/Baucus!$E$50</f>
        <v>124.11901498798159</v>
      </c>
      <c r="AD16" s="469">
        <f>Summary!AD97*Baucus!$G$50/Baucus!$E$50</f>
        <v>126.14748077792403</v>
      </c>
      <c r="AE16" s="469">
        <f>Summary!AE97*Baucus!$G$50/Baucus!$E$50</f>
        <v>128.20909760005409</v>
      </c>
      <c r="AF16" s="469">
        <f>Summary!AF97*Baucus!$G$50/Baucus!$E$50</f>
        <v>130.30440723868023</v>
      </c>
      <c r="AG16" s="469">
        <f>Summary!AG97*Baucus!$G$50/Baucus!$E$50</f>
        <v>132.4339603324425</v>
      </c>
      <c r="AH16" s="469">
        <f>Summary!AH97*Baucus!$G$50/Baucus!$E$50</f>
        <v>134.59831651901843</v>
      </c>
      <c r="AI16" s="469">
        <f>Summary!AI97*Baucus!$G$50/Baucus!$E$50</f>
        <v>136.7980445821932</v>
      </c>
      <c r="AJ16" s="469">
        <f>Summary!AJ97*Baucus!$G$50/Baucus!$E$50</f>
        <v>139.03372260133366</v>
      </c>
      <c r="AK16" s="469">
        <f>Summary!AK97*Baucus!$I$43/Baucus!$I$32</f>
        <v>141.30593810330535</v>
      </c>
      <c r="AL16" s="469">
        <f>Summary!AL97*Baucus!$I$43/Baucus!$I$32</f>
        <v>143.61528821687196</v>
      </c>
      <c r="AM16" s="469">
        <f>Summary!AM97*Baucus!$G$50/Baucus!$E$50</f>
        <v>145.96237982961844</v>
      </c>
      <c r="AN16" s="76"/>
      <c r="AO16" s="71"/>
      <c r="AP16" s="6">
        <f>ROW()</f>
        <v>16</v>
      </c>
    </row>
    <row r="17" spans="2:42" s="32" customFormat="1" ht="14" customHeight="1">
      <c r="B17" s="352" t="s">
        <v>613</v>
      </c>
      <c r="H17" s="18"/>
      <c r="I17" s="18"/>
      <c r="J17" s="18"/>
      <c r="M17" s="469">
        <f t="shared" si="1"/>
        <v>0</v>
      </c>
      <c r="N17" s="469">
        <f t="shared" si="1"/>
        <v>0</v>
      </c>
      <c r="O17" s="469">
        <f t="shared" si="1"/>
        <v>0</v>
      </c>
      <c r="P17" s="470">
        <f>P16*Parameters!$H$14/2000</f>
        <v>0</v>
      </c>
      <c r="Q17" s="469">
        <f>Q16*Parameters!$H$14/2000</f>
        <v>112.65067027148808</v>
      </c>
      <c r="R17" s="469">
        <f>R16*Parameters!$H$14/2000</f>
        <v>114.49170994523932</v>
      </c>
      <c r="S17" s="469">
        <f>S16*Parameters!$H$14/2000</f>
        <v>116.36283756318261</v>
      </c>
      <c r="T17" s="469">
        <f>T16*Parameters!$H$14/2000</f>
        <v>118.26454484985739</v>
      </c>
      <c r="U17" s="469">
        <f>U16*Parameters!$H$14/2000</f>
        <v>120.19733156601264</v>
      </c>
      <c r="V17" s="469">
        <f>V16*Parameters!$H$14/2000</f>
        <v>122.16170563994186</v>
      </c>
      <c r="W17" s="469">
        <f>W16*Parameters!$H$14/2000</f>
        <v>124.15818330096445</v>
      </c>
      <c r="X17" s="469">
        <f>X16*Parameters!$H$14/2000</f>
        <v>126.18728921508887</v>
      </c>
      <c r="Y17" s="469">
        <f>Y16*Parameters!$H$14/2000</f>
        <v>128.24955662289221</v>
      </c>
      <c r="Z17" s="469">
        <f>Z16*Parameters!$H$14/2000</f>
        <v>130.34552747965429</v>
      </c>
      <c r="AA17" s="469">
        <f>AA16*Parameters!$H$14/2000</f>
        <v>132.47575259778043</v>
      </c>
      <c r="AB17" s="469">
        <f>AB16*Parameters!$H$14/2000</f>
        <v>134.6407917915534</v>
      </c>
      <c r="AC17" s="469">
        <f>AC16*Parameters!$H$14/2000</f>
        <v>136.84121402424969</v>
      </c>
      <c r="AD17" s="469">
        <f>AD16*Parameters!$H$14/2000</f>
        <v>139.07759755766125</v>
      </c>
      <c r="AE17" s="469">
        <f>AE16*Parameters!$H$14/2000</f>
        <v>141.35053010405963</v>
      </c>
      <c r="AF17" s="469">
        <f>AF16*Parameters!$H$14/2000</f>
        <v>143.66060898064495</v>
      </c>
      <c r="AG17" s="469">
        <f>AG16*Parameters!$H$14/2000</f>
        <v>146.00844126651785</v>
      </c>
      <c r="AH17" s="469">
        <f>AH16*Parameters!$H$14/2000</f>
        <v>148.39464396221783</v>
      </c>
      <c r="AI17" s="469">
        <f>AI16*Parameters!$H$14/2000</f>
        <v>150.81984415186798</v>
      </c>
      <c r="AJ17" s="469">
        <f>AJ16*Parameters!$H$14/2000</f>
        <v>153.28467916797038</v>
      </c>
      <c r="AK17" s="469">
        <f>AK16*Parameters!$H$14/2000</f>
        <v>155.78979675889414</v>
      </c>
      <c r="AL17" s="469">
        <f>AL16*Parameters!$H$14/2000</f>
        <v>158.33585525910135</v>
      </c>
      <c r="AM17" s="469">
        <f>AM16*Parameters!$H$14/2000</f>
        <v>160.92352376215433</v>
      </c>
      <c r="AP17" s="88">
        <f>ROW()</f>
        <v>17</v>
      </c>
    </row>
    <row r="18" spans="2:42" s="32" customFormat="1" ht="14" customHeight="1">
      <c r="B18" s="352" t="s">
        <v>497</v>
      </c>
      <c r="H18" s="18"/>
      <c r="I18" s="18"/>
      <c r="J18" s="18"/>
      <c r="M18" s="523">
        <f>M16*M65*(1/Parameters!$H$15)</f>
        <v>0</v>
      </c>
      <c r="N18" s="523">
        <f>N16*N65*(1/Parameters!$H$15)</f>
        <v>0</v>
      </c>
      <c r="O18" s="523">
        <f>O16*O65*(1/Parameters!$H$15)</f>
        <v>0</v>
      </c>
      <c r="P18" s="470">
        <f>P16*P65*(1/Parameters!$H$15)</f>
        <v>0</v>
      </c>
      <c r="Q18" s="469">
        <f>Q16*Q65*(1/Parameters!$H$15)</f>
        <v>1.0901587456773159</v>
      </c>
      <c r="R18" s="469">
        <f>R16*R65*(1/Parameters!$H$15)</f>
        <v>1.1080398272784242</v>
      </c>
      <c r="S18" s="469">
        <f>S16*S65*(1/Parameters!$H$15)</f>
        <v>1.1262141240140633</v>
      </c>
      <c r="T18" s="469">
        <f>T16*T65*(1/Parameters!$H$15)</f>
        <v>1.1446864428979098</v>
      </c>
      <c r="U18" s="469">
        <f>U16*U65*(1/Parameters!$H$15)</f>
        <v>1.1634616697330757</v>
      </c>
      <c r="V18" s="469">
        <f>V16*V65*(1/Parameters!$H$15)</f>
        <v>1.1825447704032424</v>
      </c>
      <c r="W18" s="469">
        <f>W16*W65*(1/Parameters!$H$15)</f>
        <v>1.2019407921849483</v>
      </c>
      <c r="X18" s="469">
        <f>X16*X65*(1/Parameters!$H$15)</f>
        <v>1.2216548650813759</v>
      </c>
      <c r="Y18" s="469">
        <f>Y16*Y65*(1/Parameters!$H$15)</f>
        <v>1.2416922031779907</v>
      </c>
      <c r="Z18" s="469">
        <f>Z16*Z65*(1/Parameters!$H$15)</f>
        <v>1.2620581060203959</v>
      </c>
      <c r="AA18" s="469">
        <f>AA16*AA65*(1/Parameters!$H$15)</f>
        <v>1.2827579600147527</v>
      </c>
      <c r="AB18" s="469">
        <f>AB16*AB65*(1/Parameters!$H$15)</f>
        <v>1.3037972398511553</v>
      </c>
      <c r="AC18" s="469">
        <f>AC16*AC65*(1/Parameters!$H$15)</f>
        <v>1.3251815099503144</v>
      </c>
      <c r="AD18" s="469">
        <f>AD16*AD65*(1/Parameters!$H$15)</f>
        <v>1.3469164259339563</v>
      </c>
      <c r="AE18" s="469">
        <f>AE16*AE65*(1/Parameters!$H$15)</f>
        <v>1.3690077361192972</v>
      </c>
      <c r="AF18" s="469">
        <f>AF16*AF65*(1/Parameters!$H$15)</f>
        <v>1.3914612830380155</v>
      </c>
      <c r="AG18" s="469">
        <f>AG16*AG65*(1/Parameters!$H$15)</f>
        <v>1.414283004980103</v>
      </c>
      <c r="AH18" s="469">
        <f>AH16*AH65*(1/Parameters!$H$15)</f>
        <v>1.4374789375630126</v>
      </c>
      <c r="AI18" s="469">
        <f>AI16*AI65*(1/Parameters!$H$15)</f>
        <v>1.4610552153265124</v>
      </c>
      <c r="AJ18" s="469">
        <f>AJ16*AJ65*(1/Parameters!$H$15)</f>
        <v>1.4850180733536678</v>
      </c>
      <c r="AK18" s="469">
        <f>AK16*AK65*(1/Parameters!$H$15)</f>
        <v>1.5093738489183859</v>
      </c>
      <c r="AL18" s="469">
        <f>AL16*AL65*(1/Parameters!$H$15)</f>
        <v>1.5341289831599461</v>
      </c>
      <c r="AM18" s="469">
        <f>AM16*AM65*(1/Parameters!$H$15)</f>
        <v>1.55929002278497</v>
      </c>
      <c r="AP18" s="7">
        <f>ROW()</f>
        <v>18</v>
      </c>
    </row>
    <row r="19" spans="2:42" ht="14" customHeight="1">
      <c r="B19" s="352" t="s">
        <v>477</v>
      </c>
      <c r="K19" s="345">
        <f>Summary!J83*IF(Summary!D89="YES",1,0)/100</f>
        <v>0</v>
      </c>
      <c r="L19" s="71"/>
      <c r="M19" s="469">
        <v>0</v>
      </c>
      <c r="N19" s="469">
        <v>0</v>
      </c>
      <c r="O19" s="469">
        <v>0</v>
      </c>
      <c r="P19" s="470">
        <v>0</v>
      </c>
      <c r="Q19" s="469">
        <f>K19</f>
        <v>0</v>
      </c>
      <c r="R19" s="469">
        <f>$Q$19*(1+IF(Summary!$J$69=2,Summary!$J$75,IF(Summary!$J$79="Real",AEO!$N$18-1,0)))^(R13-$Q13)</f>
        <v>0</v>
      </c>
      <c r="S19" s="469">
        <f>$Q$19*(1+IF(Summary!$J$69=2,Summary!$J$75,IF(Summary!$J$79="Real",AEO!$N$18-1,0)))^(S13-$Q13)</f>
        <v>0</v>
      </c>
      <c r="T19" s="469">
        <f>$Q$19*(1+IF(Summary!$J$69=2,Summary!$J$75,IF(Summary!$J$79="Real",AEO!$N$18-1,0)))^(T13-$Q13)</f>
        <v>0</v>
      </c>
      <c r="U19" s="469">
        <f>$Q$19*(1+IF(Summary!$J$69=2,Summary!$J$75,IF(Summary!$J$79="Real",AEO!$N$18-1,0)))^(U13-$Q13)</f>
        <v>0</v>
      </c>
      <c r="V19" s="469">
        <f>$Q$19*(1+IF(Summary!$J$69=2,Summary!$J$75,IF(Summary!$J$79="Real",AEO!$N$18-1,0)))^(V13-$Q13)</f>
        <v>0</v>
      </c>
      <c r="W19" s="469">
        <f>$Q$19*(1+IF(Summary!$J$69=2,Summary!$J$75,IF(Summary!$J$79="Real",AEO!$N$18-1,0)))^(W13-$Q13)</f>
        <v>0</v>
      </c>
      <c r="X19" s="469">
        <f>$Q$19*(1+IF(Summary!$J$69=2,Summary!$J$75,IF(Summary!$J$79="Real",AEO!$N$18-1,0)))^(X13-$Q13)</f>
        <v>0</v>
      </c>
      <c r="Y19" s="469">
        <f>$Q$19*(1+IF(Summary!$J$69=2,Summary!$J$75,IF(Summary!$J$79="Real",AEO!$N$18-1,0)))^(Y13-$Q13)</f>
        <v>0</v>
      </c>
      <c r="Z19" s="469">
        <f>$Q$19*(1+IF(Summary!$J$69=2,Summary!$J$75,IF(Summary!$J$79="Real",AEO!$N$18-1,0)))^(Z13-$Q13)</f>
        <v>0</v>
      </c>
      <c r="AA19" s="469">
        <f>$Q$19*(1+IF(Summary!$J$69=2,Summary!$J$75,IF(Summary!$J$79="Real",AEO!$N$18-1,0)))^(AA13-$Q13)</f>
        <v>0</v>
      </c>
      <c r="AB19" s="469">
        <f>$Q$19*(1+IF(Summary!$J$69=2,Summary!$J$75,IF(Summary!$J$79="Real",AEO!$N$18-1,0)))^(AB13-$Q13)</f>
        <v>0</v>
      </c>
      <c r="AC19" s="469">
        <f>$Q$19*(1+IF(Summary!$J$69=2,Summary!$J$75,IF(Summary!$J$79="Real",AEO!$N$18-1,0)))^(AC13-$Q13)</f>
        <v>0</v>
      </c>
      <c r="AD19" s="469">
        <f>$Q$19*(1+IF(Summary!$J$69=2,Summary!$J$75,IF(Summary!$J$79="Real",AEO!$N$18-1,0)))^(AD13-$Q13)</f>
        <v>0</v>
      </c>
      <c r="AE19" s="469">
        <f>$Q$19*(1+IF(Summary!$J$69=2,Summary!$J$75,IF(Summary!$J$79="Real",AEO!$N$18-1,0)))^(AE13-$Q13)</f>
        <v>0</v>
      </c>
      <c r="AF19" s="469">
        <f>$Q$19*(1+IF(Summary!$J$69=2,Summary!$J$75,IF(Summary!$J$79="Real",AEO!$N$18-1,0)))^(AF13-$Q13)</f>
        <v>0</v>
      </c>
      <c r="AG19" s="469">
        <f>$Q$19*(1+IF(Summary!$J$69=2,Summary!$J$75,IF(Summary!$J$79="Real",AEO!$N$18-1,0)))^(AG13-$Q13)</f>
        <v>0</v>
      </c>
      <c r="AH19" s="469">
        <f>$Q$19*(1+IF(Summary!$J$69=2,Summary!$J$75,IF(Summary!$J$79="Real",AEO!$N$18-1,0)))^(AH13-$Q13)</f>
        <v>0</v>
      </c>
      <c r="AI19" s="469">
        <f>$Q$19*(1+IF(Summary!$J$69=2,Summary!$J$75,IF(Summary!$J$79="Real",AEO!$N$18-1,0)))^(AI13-$Q13)</f>
        <v>0</v>
      </c>
      <c r="AJ19" s="469">
        <f>$Q$19*(1+IF(Summary!$J$69=2,Summary!$J$75,IF(Summary!$J$79="Real",AEO!$N$18-1,0)))^(AJ13-$Q13)</f>
        <v>0</v>
      </c>
      <c r="AK19" s="469">
        <f>$Q$19*(1+IF(Summary!$J$69=2,Summary!$J$75,IF(Summary!$J$79="Real",AEO!$N$18-1,0)))^(AK13-$Q13)</f>
        <v>0</v>
      </c>
      <c r="AL19" s="469">
        <f>$Q$19*(1+IF(Summary!$J$69=2,Summary!$J$75,IF(Summary!$J$79="Real",AEO!$N$18-1,0)))^(AL13-$Q13)</f>
        <v>0</v>
      </c>
      <c r="AM19" s="469">
        <f>$Q$19*(1+IF(Summary!$J$69=2,Summary!$J$75,IF(Summary!$J$79="Real",AEO!$N$18-1,0)))^(AM13-$Q13)</f>
        <v>0</v>
      </c>
      <c r="AN19" s="328"/>
      <c r="AO19" s="71"/>
      <c r="AP19" s="7">
        <f>ROW()</f>
        <v>19</v>
      </c>
    </row>
    <row r="20" spans="2:42" ht="14" customHeight="1">
      <c r="B20" s="352" t="s">
        <v>478</v>
      </c>
      <c r="K20" s="330"/>
      <c r="L20" s="331"/>
      <c r="M20" s="469">
        <f>M19*Parameters!$H$15/M65</f>
        <v>0</v>
      </c>
      <c r="N20" s="469">
        <f>N19*Parameters!$H$15/N65</f>
        <v>0</v>
      </c>
      <c r="O20" s="469">
        <f>O19*Parameters!$H$15/O65</f>
        <v>0</v>
      </c>
      <c r="P20" s="470">
        <f>P19*Parameters!$H$15/P65</f>
        <v>0</v>
      </c>
      <c r="Q20" s="469">
        <f>Q19*Parameters!$H$15/Q65</f>
        <v>0</v>
      </c>
      <c r="R20" s="469">
        <f>R19*Parameters!$H$15/R65</f>
        <v>0</v>
      </c>
      <c r="S20" s="469">
        <f>S19*Parameters!$H$15/S65</f>
        <v>0</v>
      </c>
      <c r="T20" s="469">
        <f>T19*Parameters!$H$15/T65</f>
        <v>0</v>
      </c>
      <c r="U20" s="469">
        <f>U19*Parameters!$H$15/U65</f>
        <v>0</v>
      </c>
      <c r="V20" s="469">
        <f>V19*Parameters!$H$15/V65</f>
        <v>0</v>
      </c>
      <c r="W20" s="469">
        <f>W19*Parameters!$H$15/W65</f>
        <v>0</v>
      </c>
      <c r="X20" s="469">
        <f>X19*Parameters!$H$15/X65</f>
        <v>0</v>
      </c>
      <c r="Y20" s="469">
        <f>Y19*Parameters!$H$15/Y65</f>
        <v>0</v>
      </c>
      <c r="Z20" s="469">
        <f>Z19*Parameters!$H$15/Z65</f>
        <v>0</v>
      </c>
      <c r="AA20" s="469">
        <f>AA19*Parameters!$H$15/AA65</f>
        <v>0</v>
      </c>
      <c r="AB20" s="469">
        <f>AB19*Parameters!$H$15/AB65</f>
        <v>0</v>
      </c>
      <c r="AC20" s="469">
        <f>AC19*Parameters!$H$15/AC65</f>
        <v>0</v>
      </c>
      <c r="AD20" s="469">
        <f>AD19*Parameters!$H$15/AD65</f>
        <v>0</v>
      </c>
      <c r="AE20" s="469">
        <f>AE19*Parameters!$H$15/AE65</f>
        <v>0</v>
      </c>
      <c r="AF20" s="469">
        <f>AF19*Parameters!$H$15/AF65</f>
        <v>0</v>
      </c>
      <c r="AG20" s="469">
        <f>AG19*Parameters!$H$15/AG65</f>
        <v>0</v>
      </c>
      <c r="AH20" s="469">
        <f>AH19*Parameters!$H$15/AH65</f>
        <v>0</v>
      </c>
      <c r="AI20" s="469">
        <f>AI19*Parameters!$H$15/AI65</f>
        <v>0</v>
      </c>
      <c r="AJ20" s="469">
        <f>AJ19*Parameters!$H$15/AJ65</f>
        <v>0</v>
      </c>
      <c r="AK20" s="469">
        <f>AK19*Parameters!$H$15/AK65</f>
        <v>0</v>
      </c>
      <c r="AL20" s="469">
        <f>AL19*Parameters!$H$15/AL65</f>
        <v>0</v>
      </c>
      <c r="AM20" s="469">
        <f>AM19*Parameters!$H$15/AM65</f>
        <v>0</v>
      </c>
      <c r="AN20" s="328"/>
      <c r="AO20" s="71"/>
      <c r="AP20" s="7">
        <f>ROW()</f>
        <v>20</v>
      </c>
    </row>
    <row r="21" spans="2:42" ht="14" customHeight="1">
      <c r="B21" s="352" t="s">
        <v>498</v>
      </c>
      <c r="J21" s="330"/>
      <c r="K21" s="331"/>
      <c r="L21" s="71"/>
      <c r="M21" s="469">
        <f t="shared" ref="M21:AM21" si="2">M18+M19</f>
        <v>0</v>
      </c>
      <c r="N21" s="469">
        <f t="shared" si="2"/>
        <v>0</v>
      </c>
      <c r="O21" s="469">
        <f t="shared" si="2"/>
        <v>0</v>
      </c>
      <c r="P21" s="470">
        <f t="shared" si="2"/>
        <v>0</v>
      </c>
      <c r="Q21" s="469">
        <f t="shared" si="2"/>
        <v>1.0901587456773159</v>
      </c>
      <c r="R21" s="469">
        <f t="shared" si="2"/>
        <v>1.1080398272784242</v>
      </c>
      <c r="S21" s="469">
        <f t="shared" si="2"/>
        <v>1.1262141240140633</v>
      </c>
      <c r="T21" s="469">
        <f t="shared" si="2"/>
        <v>1.1446864428979098</v>
      </c>
      <c r="U21" s="469">
        <f t="shared" si="2"/>
        <v>1.1634616697330757</v>
      </c>
      <c r="V21" s="469">
        <f t="shared" si="2"/>
        <v>1.1825447704032424</v>
      </c>
      <c r="W21" s="469">
        <f t="shared" si="2"/>
        <v>1.2019407921849483</v>
      </c>
      <c r="X21" s="469">
        <f t="shared" si="2"/>
        <v>1.2216548650813759</v>
      </c>
      <c r="Y21" s="469">
        <f t="shared" si="2"/>
        <v>1.2416922031779907</v>
      </c>
      <c r="Z21" s="469">
        <f t="shared" si="2"/>
        <v>1.2620581060203959</v>
      </c>
      <c r="AA21" s="469">
        <f t="shared" si="2"/>
        <v>1.2827579600147527</v>
      </c>
      <c r="AB21" s="469">
        <f t="shared" si="2"/>
        <v>1.3037972398511553</v>
      </c>
      <c r="AC21" s="469">
        <f t="shared" si="2"/>
        <v>1.3251815099503144</v>
      </c>
      <c r="AD21" s="469">
        <f t="shared" si="2"/>
        <v>1.3469164259339563</v>
      </c>
      <c r="AE21" s="469">
        <f t="shared" si="2"/>
        <v>1.3690077361192972</v>
      </c>
      <c r="AF21" s="469">
        <f t="shared" si="2"/>
        <v>1.3914612830380155</v>
      </c>
      <c r="AG21" s="469">
        <f t="shared" si="2"/>
        <v>1.414283004980103</v>
      </c>
      <c r="AH21" s="469">
        <f t="shared" si="2"/>
        <v>1.4374789375630126</v>
      </c>
      <c r="AI21" s="469">
        <f t="shared" si="2"/>
        <v>1.4610552153265124</v>
      </c>
      <c r="AJ21" s="469">
        <f t="shared" si="2"/>
        <v>1.4850180733536678</v>
      </c>
      <c r="AK21" s="469">
        <f t="shared" si="2"/>
        <v>1.5093738489183859</v>
      </c>
      <c r="AL21" s="469">
        <f t="shared" si="2"/>
        <v>1.5341289831599461</v>
      </c>
      <c r="AM21" s="469">
        <f t="shared" si="2"/>
        <v>1.55929002278497</v>
      </c>
      <c r="AN21" s="328"/>
      <c r="AO21" s="71"/>
      <c r="AP21" s="7">
        <f>ROW()</f>
        <v>21</v>
      </c>
    </row>
    <row r="22" spans="2:42" ht="14" customHeight="1">
      <c r="B22" s="352" t="s">
        <v>476</v>
      </c>
      <c r="L22" s="71"/>
      <c r="M22" s="469">
        <f t="shared" ref="M22:AM22" si="3">M20+M16</f>
        <v>0</v>
      </c>
      <c r="N22" s="469">
        <f t="shared" si="3"/>
        <v>0</v>
      </c>
      <c r="O22" s="469">
        <f t="shared" si="3"/>
        <v>0</v>
      </c>
      <c r="P22" s="470">
        <f t="shared" si="3"/>
        <v>0</v>
      </c>
      <c r="Q22" s="469">
        <f t="shared" si="3"/>
        <v>102.17747870429758</v>
      </c>
      <c r="R22" s="469">
        <f t="shared" si="3"/>
        <v>103.84735595940074</v>
      </c>
      <c r="S22" s="469">
        <f t="shared" si="3"/>
        <v>105.54452386683229</v>
      </c>
      <c r="T22" s="469">
        <f t="shared" si="3"/>
        <v>107.26942843524479</v>
      </c>
      <c r="U22" s="469">
        <f t="shared" si="3"/>
        <v>109.02252296236973</v>
      </c>
      <c r="V22" s="469">
        <f t="shared" si="3"/>
        <v>110.80426815414226</v>
      </c>
      <c r="W22" s="469">
        <f t="shared" si="3"/>
        <v>112.61513224577274</v>
      </c>
      <c r="X22" s="469">
        <f t="shared" si="3"/>
        <v>114.45559112479715</v>
      </c>
      <c r="Y22" s="469">
        <f t="shared" si="3"/>
        <v>116.32612845613806</v>
      </c>
      <c r="Z22" s="469">
        <f t="shared" si="3"/>
        <v>118.22723580921023</v>
      </c>
      <c r="AA22" s="469">
        <f t="shared" si="3"/>
        <v>120.15941278710243</v>
      </c>
      <c r="AB22" s="469">
        <f t="shared" si="3"/>
        <v>122.12316715787156</v>
      </c>
      <c r="AC22" s="469">
        <f t="shared" si="3"/>
        <v>124.11901498798159</v>
      </c>
      <c r="AD22" s="469">
        <f t="shared" si="3"/>
        <v>126.14748077792403</v>
      </c>
      <c r="AE22" s="469">
        <f t="shared" si="3"/>
        <v>128.20909760005409</v>
      </c>
      <c r="AF22" s="469">
        <f t="shared" si="3"/>
        <v>130.30440723868023</v>
      </c>
      <c r="AG22" s="469">
        <f t="shared" si="3"/>
        <v>132.4339603324425</v>
      </c>
      <c r="AH22" s="469">
        <f t="shared" si="3"/>
        <v>134.59831651901843</v>
      </c>
      <c r="AI22" s="469">
        <f t="shared" si="3"/>
        <v>136.7980445821932</v>
      </c>
      <c r="AJ22" s="469">
        <f t="shared" si="3"/>
        <v>139.03372260133366</v>
      </c>
      <c r="AK22" s="469">
        <f t="shared" si="3"/>
        <v>141.30593810330535</v>
      </c>
      <c r="AL22" s="469">
        <f t="shared" si="3"/>
        <v>143.61528821687196</v>
      </c>
      <c r="AM22" s="469">
        <f t="shared" si="3"/>
        <v>145.96237982961844</v>
      </c>
      <c r="AP22" s="7">
        <f>ROW()</f>
        <v>22</v>
      </c>
    </row>
    <row r="23" spans="2:42" ht="14" customHeight="1">
      <c r="M23" s="71"/>
      <c r="Q23" s="333"/>
      <c r="R23" s="329"/>
      <c r="S23" s="329"/>
      <c r="T23" s="329"/>
      <c r="U23" s="329"/>
      <c r="V23" s="329"/>
      <c r="W23" s="329"/>
      <c r="X23" s="329"/>
      <c r="Y23" s="329"/>
      <c r="Z23" s="329"/>
      <c r="AA23" s="329"/>
      <c r="AB23" s="329"/>
      <c r="AC23" s="329"/>
      <c r="AD23" s="329"/>
      <c r="AE23" s="329"/>
      <c r="AF23" s="329"/>
      <c r="AG23" s="329"/>
      <c r="AH23" s="329"/>
      <c r="AI23" s="329"/>
      <c r="AJ23" s="329"/>
      <c r="AK23" s="329"/>
      <c r="AL23" s="329"/>
      <c r="AM23" s="329"/>
      <c r="AN23" s="71"/>
      <c r="AP23" s="7">
        <f>ROW()</f>
        <v>23</v>
      </c>
    </row>
    <row r="24" spans="2:42" ht="14" customHeight="1">
      <c r="B24" t="s">
        <v>499</v>
      </c>
      <c r="E24" s="91" t="s">
        <v>484</v>
      </c>
      <c r="K24">
        <v>5.8250000000000002</v>
      </c>
      <c r="M24" s="71"/>
      <c r="W24" s="71"/>
      <c r="X24" s="71"/>
      <c r="Y24" s="71"/>
      <c r="Z24" s="71"/>
      <c r="AA24" s="71"/>
      <c r="AB24" s="71"/>
      <c r="AC24" s="71"/>
      <c r="AD24" s="71"/>
      <c r="AE24" s="71"/>
      <c r="AF24" s="71"/>
      <c r="AG24" s="71"/>
      <c r="AH24" s="71"/>
      <c r="AI24" s="71"/>
      <c r="AJ24" s="71"/>
      <c r="AK24" s="71"/>
      <c r="AL24" s="71"/>
      <c r="AM24" s="71"/>
      <c r="AN24" s="71"/>
      <c r="AP24" s="7">
        <f>ROW()</f>
        <v>24</v>
      </c>
    </row>
    <row r="25" spans="2:42" ht="14" customHeight="1">
      <c r="B25" t="s">
        <v>500</v>
      </c>
      <c r="K25" s="22">
        <f>K24*1000000/Parameters!$H$17</f>
        <v>138690.47619047618</v>
      </c>
      <c r="M25" s="71"/>
      <c r="W25" s="71"/>
      <c r="X25" s="71"/>
      <c r="Y25" s="71"/>
      <c r="Z25" s="71"/>
      <c r="AA25" s="71"/>
      <c r="AB25" s="71"/>
      <c r="AC25" s="71"/>
      <c r="AD25" s="71"/>
      <c r="AE25" s="71"/>
      <c r="AF25" s="71"/>
      <c r="AG25" s="71"/>
      <c r="AH25" s="71"/>
      <c r="AI25" s="71"/>
      <c r="AJ25" s="71"/>
      <c r="AK25" s="71"/>
      <c r="AL25" s="71"/>
      <c r="AM25" s="71"/>
      <c r="AN25" s="71"/>
      <c r="AP25" s="7">
        <f>ROW()</f>
        <v>25</v>
      </c>
    </row>
    <row r="26" spans="2:42" ht="14" customHeight="1">
      <c r="B26" s="8" t="s">
        <v>192</v>
      </c>
      <c r="K26" s="29">
        <f>Emissions!J100/Parameters!H16</f>
        <v>6.1244416434958993</v>
      </c>
      <c r="L26" s="22"/>
      <c r="M26" s="71"/>
      <c r="W26" s="71"/>
      <c r="X26" s="71"/>
      <c r="Y26" s="71"/>
      <c r="Z26" s="71"/>
      <c r="AA26" s="71"/>
      <c r="AB26" s="71"/>
      <c r="AC26" s="71"/>
      <c r="AD26" s="71"/>
      <c r="AE26" s="71"/>
      <c r="AF26" s="71"/>
      <c r="AG26" s="71"/>
      <c r="AH26" s="71"/>
      <c r="AI26" s="71"/>
      <c r="AJ26" s="71"/>
      <c r="AK26" s="71"/>
      <c r="AL26" s="71"/>
      <c r="AM26" s="71"/>
      <c r="AN26" s="71"/>
      <c r="AP26" s="7">
        <f>ROW()</f>
        <v>26</v>
      </c>
    </row>
    <row r="27" spans="2:42" ht="14" customHeight="1">
      <c r="B27" s="134" t="s">
        <v>195</v>
      </c>
      <c r="K27" s="7">
        <f>K26*1000000/K25</f>
        <v>44.159064210614211</v>
      </c>
      <c r="L27" s="29"/>
      <c r="M27" s="71"/>
      <c r="W27" s="71"/>
      <c r="X27" s="71"/>
      <c r="Y27" s="71"/>
      <c r="Z27" s="71"/>
      <c r="AA27" s="71"/>
      <c r="AB27" s="71"/>
      <c r="AC27" s="71"/>
      <c r="AD27" s="71"/>
      <c r="AE27" s="71"/>
      <c r="AF27" s="71"/>
      <c r="AG27" s="71"/>
      <c r="AH27" s="71"/>
      <c r="AI27" s="71"/>
      <c r="AJ27" s="71"/>
      <c r="AK27" s="71"/>
      <c r="AL27" s="71"/>
      <c r="AM27" s="71"/>
      <c r="AN27" s="71"/>
      <c r="AP27" s="7">
        <f>ROW()</f>
        <v>27</v>
      </c>
    </row>
    <row r="28" spans="2:42" ht="14" customHeight="1">
      <c r="B28" s="8" t="s">
        <v>193</v>
      </c>
      <c r="K28" s="191">
        <f>K26*Parameters!$H$13</f>
        <v>22.456286026151631</v>
      </c>
      <c r="L28" s="20"/>
      <c r="M28" s="71"/>
      <c r="Q28" s="334"/>
      <c r="R28" s="163"/>
      <c r="S28" s="163"/>
      <c r="T28" s="163"/>
      <c r="U28" s="163"/>
      <c r="V28" s="163"/>
      <c r="W28" s="163"/>
      <c r="X28" s="163"/>
      <c r="Y28" s="163"/>
      <c r="Z28" s="163"/>
      <c r="AA28" s="163"/>
      <c r="AB28" s="163"/>
      <c r="AC28" s="163"/>
      <c r="AD28" s="163"/>
      <c r="AE28" s="163"/>
      <c r="AF28" s="163"/>
      <c r="AG28" s="163"/>
      <c r="AH28" s="163"/>
      <c r="AI28" s="163"/>
      <c r="AJ28" s="163"/>
      <c r="AK28" s="163"/>
      <c r="AL28" s="163"/>
      <c r="AM28" s="163"/>
      <c r="AN28" s="71"/>
      <c r="AP28" s="7">
        <f>ROW()</f>
        <v>28</v>
      </c>
    </row>
    <row r="29" spans="2:42" ht="14" customHeight="1">
      <c r="I29" s="20"/>
      <c r="J29" s="20"/>
      <c r="K29" s="29"/>
      <c r="L29" s="29"/>
      <c r="M29" s="71"/>
      <c r="Q29" s="334"/>
      <c r="R29" s="163"/>
      <c r="S29" s="163"/>
      <c r="T29" s="163"/>
      <c r="U29" s="163"/>
      <c r="V29" s="163"/>
      <c r="W29" s="163"/>
      <c r="X29" s="163"/>
      <c r="Y29" s="163"/>
      <c r="Z29" s="163"/>
      <c r="AA29" s="163"/>
      <c r="AB29" s="163"/>
      <c r="AC29" s="163"/>
      <c r="AD29" s="163"/>
      <c r="AE29" s="163"/>
      <c r="AF29" s="163"/>
      <c r="AG29" s="163"/>
      <c r="AH29" s="163"/>
      <c r="AI29" s="163"/>
      <c r="AJ29" s="163"/>
      <c r="AK29" s="163"/>
      <c r="AL29" s="163"/>
      <c r="AM29" s="163"/>
      <c r="AN29" s="71"/>
      <c r="AP29" s="7">
        <f>ROW()</f>
        <v>29</v>
      </c>
    </row>
    <row r="30" spans="2:42" ht="14" customHeight="1">
      <c r="B30" s="8" t="s">
        <v>485</v>
      </c>
      <c r="I30" s="127">
        <v>2005</v>
      </c>
      <c r="J30" s="127">
        <v>2006</v>
      </c>
      <c r="K30" s="127">
        <f t="shared" ref="K30:AM30" si="4">K13</f>
        <v>2007</v>
      </c>
      <c r="L30" s="127">
        <f t="shared" si="4"/>
        <v>2008</v>
      </c>
      <c r="M30" s="127">
        <f t="shared" si="4"/>
        <v>2009</v>
      </c>
      <c r="N30" s="127">
        <f t="shared" si="4"/>
        <v>2010</v>
      </c>
      <c r="O30" s="127">
        <f t="shared" si="4"/>
        <v>2011</v>
      </c>
      <c r="P30" s="127">
        <f t="shared" si="4"/>
        <v>2012</v>
      </c>
      <c r="Q30" s="335">
        <f t="shared" si="4"/>
        <v>2015</v>
      </c>
      <c r="R30" s="127">
        <f t="shared" si="4"/>
        <v>2016</v>
      </c>
      <c r="S30" s="127">
        <f t="shared" si="4"/>
        <v>2017</v>
      </c>
      <c r="T30" s="127">
        <f t="shared" si="4"/>
        <v>2018</v>
      </c>
      <c r="U30" s="127">
        <f t="shared" si="4"/>
        <v>2019</v>
      </c>
      <c r="V30" s="127">
        <f t="shared" si="4"/>
        <v>2020</v>
      </c>
      <c r="W30" s="127">
        <f t="shared" si="4"/>
        <v>2021</v>
      </c>
      <c r="X30" s="127">
        <f t="shared" si="4"/>
        <v>2022</v>
      </c>
      <c r="Y30" s="127">
        <f t="shared" si="4"/>
        <v>2023</v>
      </c>
      <c r="Z30" s="127">
        <f t="shared" si="4"/>
        <v>2024</v>
      </c>
      <c r="AA30" s="127">
        <f t="shared" si="4"/>
        <v>2025</v>
      </c>
      <c r="AB30" s="127">
        <f t="shared" si="4"/>
        <v>2026</v>
      </c>
      <c r="AC30" s="127">
        <f t="shared" si="4"/>
        <v>2027</v>
      </c>
      <c r="AD30" s="127">
        <f t="shared" si="4"/>
        <v>2028</v>
      </c>
      <c r="AE30" s="127">
        <f t="shared" si="4"/>
        <v>2029</v>
      </c>
      <c r="AF30" s="127">
        <f t="shared" si="4"/>
        <v>2030</v>
      </c>
      <c r="AG30" s="127">
        <f t="shared" si="4"/>
        <v>2031</v>
      </c>
      <c r="AH30" s="127">
        <f t="shared" si="4"/>
        <v>2032</v>
      </c>
      <c r="AI30" s="127">
        <f t="shared" si="4"/>
        <v>2033</v>
      </c>
      <c r="AJ30" s="127">
        <f t="shared" si="4"/>
        <v>2034</v>
      </c>
      <c r="AK30" s="127">
        <f t="shared" si="4"/>
        <v>2035</v>
      </c>
      <c r="AL30" s="127">
        <f t="shared" si="4"/>
        <v>2036</v>
      </c>
      <c r="AM30" s="127">
        <f t="shared" si="4"/>
        <v>2037</v>
      </c>
      <c r="AP30" s="7">
        <f>ROW()</f>
        <v>30</v>
      </c>
    </row>
    <row r="31" spans="2:42" ht="14" customHeight="1">
      <c r="B31" s="32" t="s">
        <v>505</v>
      </c>
      <c r="E31" s="91" t="s">
        <v>103</v>
      </c>
      <c r="H31" s="102"/>
      <c r="I31" s="128">
        <f>Energy!G25</f>
        <v>4118.01</v>
      </c>
      <c r="J31" s="128">
        <f>Energy!H25</f>
        <v>4169.12</v>
      </c>
      <c r="K31" s="128">
        <f>Energy!I25</f>
        <v>4195.91</v>
      </c>
      <c r="L31" s="128">
        <f>Energy!J25</f>
        <v>3945.41</v>
      </c>
      <c r="M31" s="128">
        <f>Energy!K25</f>
        <v>3631.08</v>
      </c>
      <c r="N31" s="128">
        <f>Energy!L25</f>
        <v>3800.31</v>
      </c>
      <c r="O31" s="128">
        <f>Energy!M25</f>
        <v>3898.85</v>
      </c>
      <c r="P31" s="128">
        <f>Energy!N25</f>
        <v>3742.7179999999998</v>
      </c>
      <c r="AN31" s="222"/>
      <c r="AP31" s="7">
        <f>ROW()</f>
        <v>31</v>
      </c>
    </row>
    <row r="32" spans="2:42" ht="14" customHeight="1">
      <c r="B32" s="134" t="s">
        <v>311</v>
      </c>
      <c r="I32" s="351">
        <v>0.8</v>
      </c>
      <c r="M32"/>
      <c r="N32"/>
      <c r="AP32" s="7">
        <f>ROW()</f>
        <v>32</v>
      </c>
    </row>
    <row r="33" spans="2:42" ht="14" customHeight="1">
      <c r="B33" s="32" t="s">
        <v>506</v>
      </c>
      <c r="I33" s="129">
        <f>I31*$I$32*Parameters!$H$18</f>
        <v>1202458.9200000002</v>
      </c>
      <c r="J33" s="129">
        <f>J31*$I$32*Parameters!$H$18</f>
        <v>1217383.04</v>
      </c>
      <c r="K33" s="129">
        <f>K31*$I$32*Parameters!$H$18</f>
        <v>1225205.72</v>
      </c>
      <c r="L33" s="129">
        <f>L31*$I$32*Parameters!$H$18</f>
        <v>1152059.72</v>
      </c>
      <c r="M33" s="129">
        <f>M31*$I$32*Parameters!$H$18</f>
        <v>1060275.3600000001</v>
      </c>
      <c r="N33" s="129">
        <f>N31*$I$32*Parameters!$H$18</f>
        <v>1109690.52</v>
      </c>
      <c r="O33" s="129">
        <f>O31*$I$32*Parameters!$H$18</f>
        <v>1138464.2</v>
      </c>
      <c r="P33" s="129">
        <f>P31*$I$32*Parameters!$H$18</f>
        <v>1092873.656</v>
      </c>
      <c r="AP33" s="7">
        <f>ROW()</f>
        <v>33</v>
      </c>
    </row>
    <row r="34" spans="2:42" ht="14" customHeight="1">
      <c r="B34" s="32" t="s">
        <v>507</v>
      </c>
      <c r="I34" s="128">
        <f>I33*Parameters!$H$17/1000</f>
        <v>50503.274640000011</v>
      </c>
      <c r="J34" s="128">
        <f>J33*Parameters!$H$17/1000</f>
        <v>51130.087679999997</v>
      </c>
      <c r="K34" s="128">
        <f>K33*Parameters!$H$17/1000</f>
        <v>51458.640240000001</v>
      </c>
      <c r="L34" s="128">
        <f>L33*Parameters!$H$17/1000</f>
        <v>48386.508240000003</v>
      </c>
      <c r="M34" s="128">
        <f>M33*Parameters!$H$17/1000</f>
        <v>44531.565120000007</v>
      </c>
      <c r="N34" s="128">
        <f>N33*Parameters!$H$17/1000</f>
        <v>46607.001840000004</v>
      </c>
      <c r="O34" s="128">
        <f>O33*Parameters!$H$17/1000</f>
        <v>47815.496399999996</v>
      </c>
      <c r="P34" s="128">
        <f>P33*Parameters!$H$17/1000</f>
        <v>45900.693552000004</v>
      </c>
      <c r="AP34" s="7">
        <f>ROW()</f>
        <v>34</v>
      </c>
    </row>
    <row r="35" spans="2:42" ht="14" customHeight="1">
      <c r="I35" s="71"/>
      <c r="J35" s="71"/>
      <c r="K35" s="71"/>
      <c r="L35" s="71"/>
      <c r="M35" s="71"/>
      <c r="AP35" s="7">
        <f>ROW()</f>
        <v>35</v>
      </c>
    </row>
    <row r="36" spans="2:42" ht="14" customHeight="1">
      <c r="B36" s="32" t="s">
        <v>508</v>
      </c>
      <c r="J36" s="130"/>
      <c r="K36" s="346">
        <f>((P60/(0.725+2/3*P47))*(130.7/229.6))^(1/22)-1</f>
        <v>3.1324550621812053E-2</v>
      </c>
      <c r="M36" s="193"/>
      <c r="N36" s="193"/>
      <c r="O36" s="193"/>
      <c r="P36" s="193"/>
      <c r="AP36" s="7">
        <f>ROW()</f>
        <v>36</v>
      </c>
    </row>
    <row r="37" spans="2:42" ht="14" customHeight="1">
      <c r="B37" s="885" t="str">
        <f>CONCATENATE("2012 price is from Cell P",AP60, ". 1990 price is from Monthly Energy Review Table 9.7, Item, 'Refiner Price of No. 2 Diesel Fuel to End Users,' increased by 2/3 of 2012 tax rate from Cell P",AP47, ". Price ratio is deflated by CPI, All Urban Consumers.")</f>
        <v>2012 price is from Cell P60. 1990 price is from Monthly Energy Review Table 9.7, Item, 'Refiner Price of No. 2 Diesel Fuel to End Users,' increased by 2/3 of 2012 tax rate from Cell P47. Price ratio is deflated by CPI, All Urban Consumers.</v>
      </c>
      <c r="C37" s="738"/>
      <c r="D37" s="738"/>
      <c r="E37" s="738"/>
      <c r="F37" s="738"/>
      <c r="G37" s="738"/>
      <c r="H37" s="738"/>
      <c r="I37" s="738"/>
      <c r="J37" s="738"/>
      <c r="K37" s="738"/>
      <c r="L37" s="738"/>
      <c r="M37" s="738"/>
      <c r="N37" s="738"/>
      <c r="O37" s="738"/>
      <c r="P37" s="739"/>
      <c r="Q37" s="336"/>
      <c r="R37" s="193"/>
      <c r="S37" s="193"/>
      <c r="T37" s="193"/>
      <c r="U37" s="193"/>
      <c r="V37" s="193"/>
      <c r="W37" s="181"/>
      <c r="Z37" s="180"/>
      <c r="AP37" s="7">
        <f>ROW()</f>
        <v>37</v>
      </c>
    </row>
    <row r="38" spans="2:42" ht="14" customHeight="1">
      <c r="B38" s="738"/>
      <c r="C38" s="738"/>
      <c r="D38" s="738"/>
      <c r="E38" s="738"/>
      <c r="F38" s="738"/>
      <c r="G38" s="738"/>
      <c r="H38" s="738"/>
      <c r="I38" s="738"/>
      <c r="J38" s="738"/>
      <c r="K38" s="738"/>
      <c r="L38" s="738"/>
      <c r="M38" s="738"/>
      <c r="N38" s="738"/>
      <c r="O38" s="738"/>
      <c r="P38" s="739"/>
      <c r="Q38" s="337"/>
      <c r="R38" s="183"/>
      <c r="S38" s="183"/>
      <c r="T38" s="183"/>
      <c r="U38" s="183"/>
      <c r="V38" s="183"/>
      <c r="W38" s="181"/>
      <c r="Z38" s="180"/>
      <c r="AP38" s="7">
        <f>ROW()</f>
        <v>38</v>
      </c>
    </row>
    <row r="39" spans="2:42" ht="14" customHeight="1">
      <c r="B39" s="56" t="s">
        <v>501</v>
      </c>
      <c r="K39" s="351">
        <v>1</v>
      </c>
      <c r="M39" s="183"/>
      <c r="N39" s="183"/>
      <c r="O39" s="183"/>
      <c r="P39" s="183"/>
      <c r="Q39" s="337"/>
      <c r="R39" s="183"/>
      <c r="S39" s="183"/>
      <c r="T39" s="183"/>
      <c r="U39" s="183"/>
      <c r="V39" s="183"/>
      <c r="W39" s="181"/>
      <c r="Z39" s="180"/>
      <c r="AP39" s="7">
        <f>ROW()</f>
        <v>39</v>
      </c>
    </row>
    <row r="40" spans="2:42" ht="14" customHeight="1">
      <c r="B40" s="366" t="s">
        <v>525</v>
      </c>
      <c r="K40" s="195"/>
      <c r="L40" s="366"/>
      <c r="M40" s="183"/>
      <c r="N40" s="183"/>
      <c r="O40" s="183"/>
      <c r="P40" s="183"/>
      <c r="Q40" s="337"/>
      <c r="R40" s="183"/>
      <c r="S40" s="183"/>
      <c r="T40" s="183"/>
      <c r="U40" s="183"/>
      <c r="V40" s="183"/>
      <c r="W40" s="181"/>
      <c r="Z40" s="180"/>
      <c r="AP40" s="7">
        <f>ROW()</f>
        <v>40</v>
      </c>
    </row>
    <row r="41" spans="2:42" ht="14" customHeight="1">
      <c r="B41" s="32" t="s">
        <v>502</v>
      </c>
      <c r="K41" s="346">
        <f>K36*K39</f>
        <v>3.1324550621812053E-2</v>
      </c>
      <c r="L41" s="183"/>
      <c r="M41" s="183"/>
      <c r="N41" s="183"/>
      <c r="O41" s="128"/>
      <c r="P41" s="128"/>
      <c r="Q41" s="337"/>
      <c r="R41" s="183"/>
      <c r="S41" s="183"/>
      <c r="T41" s="183"/>
      <c r="U41" s="183"/>
      <c r="V41" s="183"/>
      <c r="W41" s="181"/>
      <c r="Z41" s="180"/>
      <c r="AP41" s="7">
        <f>ROW()</f>
        <v>41</v>
      </c>
    </row>
    <row r="42" spans="2:42" ht="14" customHeight="1">
      <c r="B42" s="193" t="str">
        <f>CONCATENATE("Product of Rows ",AP36, " and ",AP38, ".")</f>
        <v>Product of Rows 36 and 38.</v>
      </c>
      <c r="L42" s="91"/>
      <c r="M42" s="91"/>
      <c r="AP42" s="7">
        <f>ROW()</f>
        <v>42</v>
      </c>
    </row>
    <row r="43" spans="2:42" ht="14" customHeight="1">
      <c r="B43" s="56" t="s">
        <v>490</v>
      </c>
      <c r="G43" s="196">
        <v>10</v>
      </c>
      <c r="H43" s="85" t="s">
        <v>26</v>
      </c>
      <c r="J43" s="347">
        <v>0.01</v>
      </c>
      <c r="K43" s="13">
        <f t="shared" ref="K43:AM43" si="5">K30</f>
        <v>2007</v>
      </c>
      <c r="L43" s="13">
        <f t="shared" si="5"/>
        <v>2008</v>
      </c>
      <c r="M43" s="13">
        <f t="shared" si="5"/>
        <v>2009</v>
      </c>
      <c r="N43" s="13">
        <f t="shared" si="5"/>
        <v>2010</v>
      </c>
      <c r="O43" s="13">
        <f t="shared" si="5"/>
        <v>2011</v>
      </c>
      <c r="P43" s="13">
        <f t="shared" si="5"/>
        <v>2012</v>
      </c>
      <c r="Q43" s="340">
        <f t="shared" si="5"/>
        <v>2015</v>
      </c>
      <c r="R43" s="13">
        <f t="shared" si="5"/>
        <v>2016</v>
      </c>
      <c r="S43" s="13">
        <f t="shared" si="5"/>
        <v>2017</v>
      </c>
      <c r="T43" s="13">
        <f t="shared" si="5"/>
        <v>2018</v>
      </c>
      <c r="U43" s="13">
        <f t="shared" si="5"/>
        <v>2019</v>
      </c>
      <c r="V43" s="13">
        <f t="shared" si="5"/>
        <v>2020</v>
      </c>
      <c r="W43" s="13">
        <f t="shared" si="5"/>
        <v>2021</v>
      </c>
      <c r="X43" s="13">
        <f t="shared" si="5"/>
        <v>2022</v>
      </c>
      <c r="Y43" s="13">
        <f t="shared" si="5"/>
        <v>2023</v>
      </c>
      <c r="Z43" s="13">
        <f t="shared" si="5"/>
        <v>2024</v>
      </c>
      <c r="AA43" s="13">
        <f t="shared" si="5"/>
        <v>2025</v>
      </c>
      <c r="AB43" s="13">
        <f t="shared" si="5"/>
        <v>2026</v>
      </c>
      <c r="AC43" s="13">
        <f t="shared" si="5"/>
        <v>2027</v>
      </c>
      <c r="AD43" s="13">
        <f t="shared" si="5"/>
        <v>2028</v>
      </c>
      <c r="AE43" s="13">
        <f t="shared" si="5"/>
        <v>2029</v>
      </c>
      <c r="AF43" s="13">
        <f t="shared" si="5"/>
        <v>2030</v>
      </c>
      <c r="AG43" s="13">
        <f t="shared" si="5"/>
        <v>2031</v>
      </c>
      <c r="AH43" s="13">
        <f t="shared" si="5"/>
        <v>2032</v>
      </c>
      <c r="AI43" s="13">
        <f t="shared" si="5"/>
        <v>2033</v>
      </c>
      <c r="AJ43" s="13">
        <f t="shared" si="5"/>
        <v>2034</v>
      </c>
      <c r="AK43" s="13">
        <f t="shared" si="5"/>
        <v>2035</v>
      </c>
      <c r="AL43" s="13">
        <f t="shared" si="5"/>
        <v>2036</v>
      </c>
      <c r="AM43" s="13">
        <f t="shared" si="5"/>
        <v>2037</v>
      </c>
      <c r="AP43" s="7">
        <f>ROW()</f>
        <v>43</v>
      </c>
    </row>
    <row r="44" spans="2:42" ht="14" customHeight="1">
      <c r="B44" s="91" t="s">
        <v>503</v>
      </c>
      <c r="I44" s="4"/>
      <c r="J44" s="4"/>
      <c r="AP44" s="7">
        <f>ROW()</f>
        <v>44</v>
      </c>
    </row>
    <row r="45" spans="2:42" ht="14" customHeight="1">
      <c r="B45" s="32" t="s">
        <v>510</v>
      </c>
      <c r="H45" s="30"/>
      <c r="I45" s="30"/>
      <c r="J45" s="30"/>
      <c r="K45" s="328">
        <v>2.2669999999999999</v>
      </c>
      <c r="L45" s="328">
        <v>3.15</v>
      </c>
      <c r="M45" s="328">
        <v>1.8340000000000001</v>
      </c>
      <c r="N45" s="328">
        <v>2.3140000000000001</v>
      </c>
      <c r="O45" s="328">
        <v>3.117</v>
      </c>
      <c r="P45" s="328">
        <v>3.2090000000000001</v>
      </c>
      <c r="Q45" s="333">
        <f>$P$45*((1+$K$41)*(AEO!$N$18))^(Q13-$P$13)</f>
        <v>3.7082406629571261</v>
      </c>
      <c r="R45" s="329">
        <f>$P$45*((1+$K$41)*(AEO!$N$18))^(R13-$P$13)</f>
        <v>3.8913531282877765</v>
      </c>
      <c r="S45" s="329">
        <f>$P$45*((1+$K$41)*(AEO!$N$18))^(S13-$P$13)</f>
        <v>4.0835076645105381</v>
      </c>
      <c r="T45" s="329">
        <f>$P$45*((1+$K$41)*(AEO!$N$18))^(T13-$P$13)</f>
        <v>4.2851507679678118</v>
      </c>
      <c r="U45" s="329">
        <f>$P$45*((1+$K$41)*(AEO!$N$18))^(U13-$P$13)</f>
        <v>4.496750982936164</v>
      </c>
      <c r="V45" s="329">
        <f>$P$45*((1+$K$41)*(AEO!$N$18))^(V13-$P$13)</f>
        <v>4.7187999903505959</v>
      </c>
      <c r="W45" s="329">
        <f>$P$45*((1+$K$41)*(AEO!$N$18))^(W13-$P$13)</f>
        <v>4.9518137502898707</v>
      </c>
      <c r="X45" s="329">
        <f>$P$45*((1+$K$41)*(AEO!$N$18))^(X13-$P$13)</f>
        <v>5.196333700877628</v>
      </c>
      <c r="Y45" s="329">
        <f>$P$45*((1+$K$41)*(AEO!$N$18))^(Y13-$P$13)</f>
        <v>5.4529280163850968</v>
      </c>
      <c r="Z45" s="329">
        <f>$P$45*((1+$K$41)*(AEO!$N$18))^(Z13-$P$13)</f>
        <v>5.7221929274587477</v>
      </c>
      <c r="AA45" s="329">
        <f>$P$45*((1+$K$41)*(AEO!$N$18))^(AA13-$P$13)</f>
        <v>6.0047541065406396</v>
      </c>
      <c r="AB45" s="329">
        <f>$P$45*((1+$K$41)*(AEO!$N$18))^(AB13-$P$13)</f>
        <v>6.301268121700641</v>
      </c>
      <c r="AC45" s="329">
        <f>$P$45*((1+$K$41)*(AEO!$N$18))^(AC13-$P$13)</f>
        <v>6.6124239622587124</v>
      </c>
      <c r="AD45" s="329">
        <f>$P$45*((1+$K$41)*(AEO!$N$18))^(AD13-$P$13)</f>
        <v>6.9389446397422212</v>
      </c>
      <c r="AE45" s="329">
        <f>$P$45*((1+$K$41)*(AEO!$N$18))^(AE13-$P$13)</f>
        <v>7.2815888678983454</v>
      </c>
      <c r="AF45" s="329">
        <f>$P$45*((1+$K$41)*(AEO!$N$18))^(AF13-$P$13)</f>
        <v>7.6411528256652632</v>
      </c>
      <c r="AG45" s="329">
        <f>$P$45*((1+$K$41)*(AEO!$N$18))^(AG13-$P$13)</f>
        <v>8.0184720071986568</v>
      </c>
      <c r="AH45" s="329">
        <f>$P$45*((1+$K$41)*(AEO!$N$18))^(AH13-$P$13)</f>
        <v>8.4144231632522875</v>
      </c>
      <c r="AI45" s="329">
        <f>$P$45*((1+$K$41)*(AEO!$N$18))^(AI13-$P$13)</f>
        <v>8.8299263384237072</v>
      </c>
      <c r="AJ45" s="329">
        <f>$P$45*((1+$K$41)*(AEO!$N$18))^(AJ13-$P$13)</f>
        <v>9.2659470089989107</v>
      </c>
      <c r="AK45" s="329">
        <f>$P$45*((1+$K$41)*(AEO!$N$18))^(AK13-$P$13)</f>
        <v>9.7234983263634973</v>
      </c>
      <c r="AL45" s="329">
        <f>$P$45*((1+$K$41)*(AEO!$N$18))^(AL13-$P$13)</f>
        <v>10.20364347119318</v>
      </c>
      <c r="AM45" s="329">
        <f>$P$45*((1+$K$41)*(AEO!$N$18))^(AM13-$P$13)</f>
        <v>10.707498123893961</v>
      </c>
      <c r="AP45" s="7">
        <f>ROW()</f>
        <v>45</v>
      </c>
    </row>
    <row r="46" spans="2:42" ht="14" customHeight="1">
      <c r="B46" s="366" t="str">
        <f>CONCATENATE("Historical values use source given in Row ",AP37, ". Future values escalate and inflate year-2012 value by annual real increase rate in Cell K",AP41, " and annual economy-wide price (inflation) index in 'AEO' tab, Cell M",AEO!P18, ".")</f>
        <v>Historical values use source given in Row 37. Future values escalate and inflate year-2012 value by annual real increase rate in Cell K41 and annual economy-wide price (inflation) index in 'AEO' tab, Cell M18.</v>
      </c>
      <c r="K46" s="328"/>
      <c r="L46" s="328"/>
      <c r="M46" s="328"/>
      <c r="N46" s="329"/>
      <c r="O46" s="329"/>
      <c r="P46" s="329"/>
      <c r="Q46" s="333"/>
      <c r="R46" s="328"/>
      <c r="S46" s="328"/>
      <c r="T46" s="328"/>
      <c r="U46" s="328"/>
      <c r="V46" s="328"/>
      <c r="W46" s="328"/>
      <c r="X46" s="328"/>
      <c r="Y46" s="328"/>
      <c r="Z46" s="328"/>
      <c r="AA46" s="328"/>
      <c r="AB46" s="328"/>
      <c r="AC46" s="328"/>
      <c r="AD46" s="328"/>
      <c r="AE46" s="328"/>
      <c r="AF46" s="328"/>
      <c r="AG46" s="328"/>
      <c r="AH46" s="328"/>
      <c r="AI46" s="328"/>
      <c r="AJ46" s="328"/>
      <c r="AK46" s="328"/>
      <c r="AL46" s="328"/>
      <c r="AM46" s="328"/>
      <c r="AP46" s="7">
        <f>ROW()</f>
        <v>46</v>
      </c>
    </row>
    <row r="47" spans="2:42" ht="14" customHeight="1">
      <c r="B47" s="32" t="s">
        <v>511</v>
      </c>
      <c r="K47" s="329">
        <f>$P$47-0.01*($P$13-K13)</f>
        <v>0.48400000000000004</v>
      </c>
      <c r="L47" s="329">
        <f>$P$47-0.01*($P$13-L13)</f>
        <v>0.49400000000000005</v>
      </c>
      <c r="M47" s="329">
        <f>$P$47-0.01*($P$13-M13)</f>
        <v>0.504</v>
      </c>
      <c r="N47" s="329">
        <f>$P$47-0.01*($P$13-N13)</f>
        <v>0.51400000000000001</v>
      </c>
      <c r="O47" s="329">
        <f>$P$47-0.01*($P$13-O13)</f>
        <v>0.52400000000000002</v>
      </c>
      <c r="P47" s="365">
        <f>0.544-0.01</f>
        <v>0.53400000000000003</v>
      </c>
      <c r="Q47" s="333">
        <f>P$47*(AEO!$N$18)^(Q13-P$13)</f>
        <v>0.56253996668689576</v>
      </c>
      <c r="R47" s="329">
        <f>Q$47*(AEO!$N$18)^(R13-Q$13)</f>
        <v>0.57238831395552237</v>
      </c>
      <c r="S47" s="329">
        <f>R$47*(AEO!$N$18)^(S13-R$13)</f>
        <v>0.58240907554076138</v>
      </c>
      <c r="T47" s="329">
        <f>S$47*(AEO!$N$18)^(T13-S$13)</f>
        <v>0.59260526988781603</v>
      </c>
      <c r="U47" s="329">
        <f>T$47*(AEO!$N$18)^(U13-T$13)</f>
        <v>0.60297996828559541</v>
      </c>
      <c r="V47" s="329">
        <f>U$47*(AEO!$N$18)^(V13-U$13)</f>
        <v>0.61353629579184576</v>
      </c>
      <c r="W47" s="329">
        <f>V$47*(AEO!$N$18)^(W13-V$13)</f>
        <v>0.62427743217447729</v>
      </c>
      <c r="X47" s="329">
        <f>W$47*(AEO!$N$18)^(X13-W$13)</f>
        <v>0.6352066128693713</v>
      </c>
      <c r="Y47" s="329">
        <f>X$47*(AEO!$N$18)^(Y13-X$13)</f>
        <v>0.64632712995495556</v>
      </c>
      <c r="Z47" s="329">
        <f>Y$47*(AEO!$N$18)^(Z13-Y$13)</f>
        <v>0.65764233314384124</v>
      </c>
      <c r="AA47" s="329">
        <f>Z$47*(AEO!$N$18)^(AA13-Z$13)</f>
        <v>0.66915563079182017</v>
      </c>
      <c r="AB47" s="329">
        <f>AA$47*(AEO!$N$18)^(AB13-AA$13)</f>
        <v>0.68087049092452734</v>
      </c>
      <c r="AC47" s="329">
        <f>AB$47*(AEO!$N$18)^(AC13-AB$13)</f>
        <v>0.69279044228207631</v>
      </c>
      <c r="AD47" s="329">
        <f>AC$47*(AEO!$N$18)^(AD13-AC$13)</f>
        <v>0.7049190753819834</v>
      </c>
      <c r="AE47" s="329">
        <f>AD$47*(AEO!$N$18)^(AE13-AD$13)</f>
        <v>0.71726004360070017</v>
      </c>
      <c r="AF47" s="329">
        <f>AE$47*(AEO!$N$18)^(AF13-AE$13)</f>
        <v>0.72981706427408044</v>
      </c>
      <c r="AG47" s="329">
        <f>AF$47*(AEO!$N$18)^(AG13-AF$13)</f>
        <v>0.74259391981711287</v>
      </c>
      <c r="AH47" s="329">
        <f>AG$47*(AEO!$N$18)^(AH13-AG$13)</f>
        <v>0.75559445886325705</v>
      </c>
      <c r="AI47" s="329">
        <f>AH$47*(AEO!$N$18)^(AI13-AH$13)</f>
        <v>0.76882259742372516</v>
      </c>
      <c r="AJ47" s="329">
        <f>AI$47*(AEO!$N$18)^(AJ13-AI$13)</f>
        <v>0.78228232006705989</v>
      </c>
      <c r="AK47" s="329">
        <f>AJ$47*(AEO!$N$18)^(AK13-AJ$13)</f>
        <v>0.79597768111936251</v>
      </c>
      <c r="AL47" s="329">
        <f>AK$47*(AEO!$N$18)^(AL13-AK$13)</f>
        <v>0.8099128058855336</v>
      </c>
      <c r="AM47" s="329">
        <f>AL$47*(AEO!$N$18)^(AM13-AL$13)</f>
        <v>0.82409189189189391</v>
      </c>
      <c r="AP47" s="7">
        <f>ROW()</f>
        <v>47</v>
      </c>
    </row>
    <row r="48" spans="2:42" ht="14" customHeight="1">
      <c r="B48" s="885" t="s">
        <v>512</v>
      </c>
      <c r="C48" s="738"/>
      <c r="D48" s="738"/>
      <c r="E48" s="738"/>
      <c r="F48" s="738"/>
      <c r="G48" s="738"/>
      <c r="H48" s="738"/>
      <c r="I48" s="738"/>
      <c r="J48" s="738"/>
      <c r="K48" s="738"/>
      <c r="L48" s="738"/>
      <c r="M48" s="738"/>
      <c r="N48" s="738"/>
      <c r="O48" s="738"/>
      <c r="P48" s="739"/>
      <c r="Q48" s="333"/>
      <c r="R48" s="328"/>
      <c r="S48" s="328"/>
      <c r="T48" s="328"/>
      <c r="U48" s="328"/>
      <c r="V48" s="328"/>
      <c r="W48" s="328"/>
      <c r="X48" s="328"/>
      <c r="Y48" s="328"/>
      <c r="Z48" s="328"/>
      <c r="AA48" s="328"/>
      <c r="AB48" s="328"/>
      <c r="AC48" s="328"/>
      <c r="AD48" s="328"/>
      <c r="AE48" s="328"/>
      <c r="AF48" s="328"/>
      <c r="AG48" s="328"/>
      <c r="AH48" s="328"/>
      <c r="AI48" s="328"/>
      <c r="AJ48" s="328"/>
      <c r="AK48" s="328"/>
      <c r="AL48" s="328"/>
      <c r="AM48" s="328"/>
      <c r="AP48" s="7">
        <f>ROW()</f>
        <v>48</v>
      </c>
    </row>
    <row r="49" spans="2:42" ht="14" customHeight="1">
      <c r="B49" s="738"/>
      <c r="C49" s="738"/>
      <c r="D49" s="738"/>
      <c r="E49" s="738"/>
      <c r="F49" s="738"/>
      <c r="G49" s="738"/>
      <c r="H49" s="738"/>
      <c r="I49" s="738"/>
      <c r="J49" s="738"/>
      <c r="K49" s="738"/>
      <c r="L49" s="738"/>
      <c r="M49" s="738"/>
      <c r="N49" s="738"/>
      <c r="O49" s="738"/>
      <c r="P49" s="739"/>
      <c r="Q49" s="333"/>
      <c r="R49" s="328"/>
      <c r="S49" s="328"/>
      <c r="T49" s="328"/>
      <c r="U49" s="328"/>
      <c r="V49" s="328"/>
      <c r="W49" s="328"/>
      <c r="X49" s="328"/>
      <c r="Y49" s="328"/>
      <c r="Z49" s="328"/>
      <c r="AA49" s="328"/>
      <c r="AB49" s="328"/>
      <c r="AC49" s="328"/>
      <c r="AD49" s="328"/>
      <c r="AE49" s="328"/>
      <c r="AF49" s="328"/>
      <c r="AG49" s="328"/>
      <c r="AH49" s="328"/>
      <c r="AI49" s="328"/>
      <c r="AJ49" s="328"/>
      <c r="AK49" s="328"/>
      <c r="AL49" s="328"/>
      <c r="AM49" s="328"/>
      <c r="AP49" s="7">
        <f>ROW()</f>
        <v>49</v>
      </c>
    </row>
    <row r="50" spans="2:42" ht="14" customHeight="1">
      <c r="B50" s="738"/>
      <c r="C50" s="738"/>
      <c r="D50" s="738"/>
      <c r="E50" s="738"/>
      <c r="F50" s="738"/>
      <c r="G50" s="738"/>
      <c r="H50" s="738"/>
      <c r="I50" s="738"/>
      <c r="J50" s="738"/>
      <c r="K50" s="738"/>
      <c r="L50" s="738"/>
      <c r="M50" s="738"/>
      <c r="N50" s="738"/>
      <c r="O50" s="738"/>
      <c r="P50" s="739"/>
      <c r="Q50" s="333"/>
      <c r="R50" s="328"/>
      <c r="S50" s="328"/>
      <c r="T50" s="328"/>
      <c r="U50" s="328"/>
      <c r="V50" s="328"/>
      <c r="W50" s="328"/>
      <c r="X50" s="328"/>
      <c r="Y50" s="328"/>
      <c r="Z50" s="328"/>
      <c r="AA50" s="328"/>
      <c r="AB50" s="328"/>
      <c r="AC50" s="328"/>
      <c r="AD50" s="328"/>
      <c r="AE50" s="328"/>
      <c r="AF50" s="328"/>
      <c r="AG50" s="328"/>
      <c r="AH50" s="328"/>
      <c r="AI50" s="328"/>
      <c r="AJ50" s="328"/>
      <c r="AK50" s="328"/>
      <c r="AL50" s="328"/>
      <c r="AM50" s="328"/>
      <c r="AP50" s="7">
        <f>ROW()</f>
        <v>50</v>
      </c>
    </row>
    <row r="51" spans="2:42" ht="14" customHeight="1">
      <c r="B51" s="32" t="s">
        <v>669</v>
      </c>
      <c r="C51" s="182"/>
      <c r="D51" s="182"/>
      <c r="E51" s="182"/>
      <c r="F51" s="182"/>
      <c r="G51" s="182"/>
      <c r="H51" s="182"/>
      <c r="I51" s="182"/>
      <c r="J51" s="182"/>
      <c r="K51" s="328">
        <f t="shared" ref="K51:AM51" si="6">K45+K47</f>
        <v>2.7509999999999999</v>
      </c>
      <c r="L51" s="328">
        <f t="shared" si="6"/>
        <v>3.6440000000000001</v>
      </c>
      <c r="M51" s="328">
        <f t="shared" si="6"/>
        <v>2.3380000000000001</v>
      </c>
      <c r="N51" s="328">
        <f t="shared" si="6"/>
        <v>2.8280000000000003</v>
      </c>
      <c r="O51" s="328">
        <f t="shared" si="6"/>
        <v>3.641</v>
      </c>
      <c r="P51" s="328">
        <f t="shared" si="6"/>
        <v>3.7430000000000003</v>
      </c>
      <c r="Q51" s="333">
        <f t="shared" si="6"/>
        <v>4.2707806296440216</v>
      </c>
      <c r="R51" s="328">
        <f t="shared" si="6"/>
        <v>4.4637414422432986</v>
      </c>
      <c r="S51" s="328">
        <f t="shared" si="6"/>
        <v>4.6659167400512995</v>
      </c>
      <c r="T51" s="328">
        <f t="shared" si="6"/>
        <v>4.8777560378556277</v>
      </c>
      <c r="U51" s="328">
        <f t="shared" si="6"/>
        <v>5.0997309512217592</v>
      </c>
      <c r="V51" s="328">
        <f t="shared" si="6"/>
        <v>5.3323362861424419</v>
      </c>
      <c r="W51" s="328">
        <f t="shared" si="6"/>
        <v>5.5760911824643475</v>
      </c>
      <c r="X51" s="328">
        <f t="shared" si="6"/>
        <v>5.8315403137469994</v>
      </c>
      <c r="Y51" s="328">
        <f t="shared" si="6"/>
        <v>6.0992551463400524</v>
      </c>
      <c r="Z51" s="328">
        <f t="shared" si="6"/>
        <v>6.3798352606025892</v>
      </c>
      <c r="AA51" s="328">
        <f t="shared" si="6"/>
        <v>6.6739097373324601</v>
      </c>
      <c r="AB51" s="328">
        <f t="shared" si="6"/>
        <v>6.9821386126251683</v>
      </c>
      <c r="AC51" s="328">
        <f t="shared" si="6"/>
        <v>7.3052144045407887</v>
      </c>
      <c r="AD51" s="328">
        <f t="shared" si="6"/>
        <v>7.6438637151242048</v>
      </c>
      <c r="AE51" s="328">
        <f t="shared" si="6"/>
        <v>7.9988489114990458</v>
      </c>
      <c r="AF51" s="328">
        <f t="shared" si="6"/>
        <v>8.3709698899393441</v>
      </c>
      <c r="AG51" s="328">
        <f t="shared" si="6"/>
        <v>8.7610659270157694</v>
      </c>
      <c r="AH51" s="328">
        <f t="shared" si="6"/>
        <v>9.1700176221155445</v>
      </c>
      <c r="AI51" s="328">
        <f t="shared" si="6"/>
        <v>9.5987489358474321</v>
      </c>
      <c r="AJ51" s="328">
        <f t="shared" si="6"/>
        <v>10.04822932906597</v>
      </c>
      <c r="AK51" s="328">
        <f t="shared" si="6"/>
        <v>10.51947600748286</v>
      </c>
      <c r="AL51" s="328">
        <f t="shared" si="6"/>
        <v>11.013556277078713</v>
      </c>
      <c r="AM51" s="328">
        <f t="shared" si="6"/>
        <v>11.531590015785856</v>
      </c>
      <c r="AP51" s="7">
        <f>ROW()</f>
        <v>51</v>
      </c>
    </row>
    <row r="52" spans="2:42" ht="14" customHeight="1">
      <c r="B52" s="366" t="str">
        <f>CONCATENATE("Sum of Rows ",AP45," and ",AP47, ".")</f>
        <v>Sum of Rows 45 and 47.</v>
      </c>
      <c r="C52" s="182"/>
      <c r="D52" s="182"/>
      <c r="E52" s="182"/>
      <c r="F52" s="182"/>
      <c r="G52" s="182"/>
      <c r="H52" s="182"/>
      <c r="I52" s="182"/>
      <c r="J52" s="182"/>
      <c r="K52" s="328"/>
      <c r="L52" s="328"/>
      <c r="M52" s="328"/>
      <c r="N52" s="328"/>
      <c r="O52" s="328"/>
      <c r="P52" s="328"/>
      <c r="Q52" s="333"/>
      <c r="R52" s="328"/>
      <c r="S52" s="328"/>
      <c r="T52" s="328"/>
      <c r="U52" s="328"/>
      <c r="V52" s="328"/>
      <c r="W52" s="328"/>
      <c r="X52" s="328"/>
      <c r="Y52" s="328"/>
      <c r="Z52" s="328"/>
      <c r="AA52" s="328"/>
      <c r="AB52" s="328"/>
      <c r="AC52" s="328"/>
      <c r="AD52" s="328"/>
      <c r="AE52" s="328"/>
      <c r="AF52" s="328"/>
      <c r="AG52" s="328"/>
      <c r="AH52" s="328"/>
      <c r="AI52" s="328"/>
      <c r="AJ52" s="328"/>
      <c r="AK52" s="328"/>
      <c r="AL52" s="328"/>
      <c r="AM52" s="328"/>
      <c r="AP52" s="7">
        <f>ROW()</f>
        <v>52</v>
      </c>
    </row>
    <row r="53" spans="2:42" ht="14" customHeight="1">
      <c r="B53" s="32" t="s">
        <v>670</v>
      </c>
      <c r="C53" s="182"/>
      <c r="D53" s="182"/>
      <c r="E53" s="182"/>
      <c r="F53" s="182"/>
      <c r="G53" s="182"/>
      <c r="H53" s="182"/>
      <c r="I53" s="182"/>
      <c r="J53" s="182"/>
      <c r="K53" s="329">
        <f>K51/(AEO!$N$18)^(K$13-$P$13)</f>
        <v>3.0003883273644849</v>
      </c>
      <c r="L53" s="329">
        <f>L51/(AEO!$N$18)^(L$13-$P$13)</f>
        <v>3.9059607042208313</v>
      </c>
      <c r="M53" s="329">
        <f>M51/(AEO!$N$18)^(M$13-$P$13)</f>
        <v>2.4629558841085437</v>
      </c>
      <c r="N53" s="329">
        <f>N51/(AEO!$N$18)^(N$13-$P$13)</f>
        <v>2.9278859515167692</v>
      </c>
      <c r="O53" s="329">
        <f>O51/(AEO!$N$18)^(O$13-$P$13)</f>
        <v>3.7047427285678132</v>
      </c>
      <c r="P53" s="328">
        <f>P51/(AEO!$N$18)^(P$13-$P$13)</f>
        <v>3.7430000000000003</v>
      </c>
      <c r="Q53" s="333">
        <f>Q51/(AEO!$N$18)^(Q$13-$P$13)</f>
        <v>4.0541063591651714</v>
      </c>
      <c r="R53" s="329">
        <f>R51/(AEO!$N$18)^(R$13-$P$13)</f>
        <v>4.1643721090070027</v>
      </c>
      <c r="S53" s="329">
        <f>S51/(AEO!$N$18)^(S$13-$P$13)</f>
        <v>4.2780918839116078</v>
      </c>
      <c r="T53" s="329">
        <f>T51/(AEO!$N$18)^(T$13-$P$13)</f>
        <v>4.3953738796619124</v>
      </c>
      <c r="U53" s="329">
        <f>U51/(AEO!$N$18)^(U$13-$P$13)</f>
        <v>4.5163296812251241</v>
      </c>
      <c r="V53" s="329">
        <f>V51/(AEO!$N$18)^(V$13-$P$13)</f>
        <v>4.6410743689174057</v>
      </c>
      <c r="W53" s="329">
        <f>W51/(AEO!$N$18)^(W$13-$P$13)</f>
        <v>4.769726627894106</v>
      </c>
      <c r="X53" s="329">
        <f>X51/(AEO!$N$18)^(X$13-$P$13)</f>
        <v>4.9024088610697314</v>
      </c>
      <c r="Y53" s="329">
        <f>Y51/(AEO!$N$18)^(Y$13-$P$13)</f>
        <v>5.039247305575083</v>
      </c>
      <c r="Z53" s="329">
        <f>Z51/(AEO!$N$18)^(Z$13-$P$13)</f>
        <v>5.1803721528623514</v>
      </c>
      <c r="AA53" s="329">
        <f>AA51/(AEO!$N$18)^(AA$13-$P$13)</f>
        <v>5.3259176725724666</v>
      </c>
      <c r="AB53" s="329">
        <f>AB51/(AEO!$N$18)^(AB$13-$P$13)</f>
        <v>5.476022340282519</v>
      </c>
      <c r="AC53" s="329">
        <f>AC51/(AEO!$N$18)^(AC$13-$P$13)</f>
        <v>5.630828969254825</v>
      </c>
      <c r="AD53" s="329">
        <f>AD51/(AEO!$N$18)^(AD$13-$P$13)</f>
        <v>5.7904848463129657</v>
      </c>
      <c r="AE53" s="329">
        <f>AE51/(AEO!$N$18)^(AE$13-$P$13)</f>
        <v>5.9551418719740843</v>
      </c>
      <c r="AF53" s="329">
        <f>AF51/(AEO!$N$18)^(AF$13-$P$13)</f>
        <v>6.1249567049707609</v>
      </c>
      <c r="AG53" s="329">
        <f>AG51/(AEO!$N$18)^(AG$13-$P$13)</f>
        <v>6.3000909112999777</v>
      </c>
      <c r="AH53" s="329">
        <f>AH51/(AEO!$N$18)^(AH$13-$P$13)</f>
        <v>6.4807111179409649</v>
      </c>
      <c r="AI53" s="329">
        <f>AI51/(AEO!$N$18)^(AI$13-$P$13)</f>
        <v>6.6669891713881988</v>
      </c>
      <c r="AJ53" s="329">
        <f>AJ51/(AEO!$N$18)^(AJ$13-$P$13)</f>
        <v>6.8591023011503722</v>
      </c>
      <c r="AK53" s="329">
        <f>AK51/(AEO!$N$18)^(AK$13-$P$13)</f>
        <v>7.0572332883708979</v>
      </c>
      <c r="AL53" s="329">
        <f>AL51/(AEO!$N$18)^(AL$13-$P$13)</f>
        <v>7.2615706397303619</v>
      </c>
      <c r="AM53" s="329">
        <f>AM51/(AEO!$N$18)^(AM$13-$P$13)</f>
        <v>7.4723087667964121</v>
      </c>
      <c r="AP53" s="7">
        <f>ROW()</f>
        <v>53</v>
      </c>
    </row>
    <row r="54" spans="2:42" ht="14" customHeight="1">
      <c r="B54" s="366" t="str">
        <f>CONCATENATE("Row ",AP51, ", deflated by economy-wide price index in 'AEO' tab.")</f>
        <v>Row 51, deflated by economy-wide price index in 'AEO' tab.</v>
      </c>
      <c r="C54" s="182"/>
      <c r="D54" s="182"/>
      <c r="E54" s="182"/>
      <c r="F54" s="182"/>
      <c r="G54" s="182"/>
      <c r="H54" s="182"/>
      <c r="M54"/>
      <c r="N54"/>
      <c r="Q54" s="333"/>
      <c r="R54" s="328"/>
      <c r="S54" s="328"/>
      <c r="T54" s="328"/>
      <c r="U54" s="328"/>
      <c r="V54" s="328"/>
      <c r="W54" s="328"/>
      <c r="X54" s="328"/>
      <c r="Y54" s="328"/>
      <c r="Z54" s="328"/>
      <c r="AA54" s="328"/>
      <c r="AB54" s="328"/>
      <c r="AC54" s="328"/>
      <c r="AD54" s="328"/>
      <c r="AE54" s="328"/>
      <c r="AF54" s="328"/>
      <c r="AG54" s="328"/>
      <c r="AH54" s="328"/>
      <c r="AI54" s="328"/>
      <c r="AJ54" s="328"/>
      <c r="AK54" s="328"/>
      <c r="AL54" s="328"/>
      <c r="AM54" s="328"/>
      <c r="AP54" s="7">
        <f>ROW()</f>
        <v>54</v>
      </c>
    </row>
    <row r="55" spans="2:42" ht="14" customHeight="1">
      <c r="B55" s="32" t="s">
        <v>509</v>
      </c>
      <c r="C55" s="182"/>
      <c r="D55" s="182"/>
      <c r="E55" s="182"/>
      <c r="F55" s="182"/>
      <c r="G55" s="182"/>
      <c r="H55" s="182"/>
      <c r="I55" s="128">
        <f t="shared" ref="I55:P55" si="7">I34</f>
        <v>50503.274640000011</v>
      </c>
      <c r="J55" s="128">
        <f t="shared" si="7"/>
        <v>51130.087679999997</v>
      </c>
      <c r="K55" s="128">
        <f t="shared" si="7"/>
        <v>51458.640240000001</v>
      </c>
      <c r="L55" s="128">
        <f t="shared" si="7"/>
        <v>48386.508240000003</v>
      </c>
      <c r="M55" s="128">
        <f t="shared" si="7"/>
        <v>44531.565120000007</v>
      </c>
      <c r="N55" s="128">
        <f t="shared" si="7"/>
        <v>46607.001840000004</v>
      </c>
      <c r="O55" s="128">
        <f t="shared" si="7"/>
        <v>47815.496399999996</v>
      </c>
      <c r="P55" s="128">
        <f t="shared" si="7"/>
        <v>45900.693552000004</v>
      </c>
      <c r="Q55" s="338">
        <f>P55*((IF(R$13&gt;=2036,AEO!$L17,(IF(R$13&gt;=2026,AEO!$K17,AEO!$J17)))^Parameters!$H$8))^(Q13-P13)*((Q53/P53)^Parameters!$G$8)</f>
        <v>46431.560878691213</v>
      </c>
      <c r="R55" s="128">
        <f>Q55*((IF(S$13&gt;=2036,AEO!$L17,(IF(S$13&gt;=2026,AEO!$K17,AEO!$J17)))^Parameters!$H$8))^(R13-Q13)*((R53/Q53)^Parameters!$G$8)</f>
        <v>46604.728803728838</v>
      </c>
      <c r="S55" s="128">
        <f>R55*((IF(T$13&gt;=2036,AEO!$L17,(IF(T$13&gt;=2026,AEO!$K17,AEO!$J17)))^Parameters!$H$8))^(S13-R13)*((S53/R53)^Parameters!$G$8)</f>
        <v>46776.055140332537</v>
      </c>
      <c r="T55" s="128">
        <f>S55*((IF(U$13&gt;=2036,AEO!$L17,(IF(U$13&gt;=2026,AEO!$K17,AEO!$J17)))^Parameters!$H$8))^(T13-S13)*((T53/S53)^Parameters!$G$8)</f>
        <v>46945.571718627114</v>
      </c>
      <c r="U55" s="128">
        <f>T55*((IF(V$13&gt;=2036,AEO!$L17,(IF(V$13&gt;=2026,AEO!$K17,AEO!$J17)))^Parameters!$H$8))^(U13-T13)*((U53/T53)^Parameters!$G$8)</f>
        <v>47113.310585713276</v>
      </c>
      <c r="V55" s="128">
        <f>U55*((IF(W$13&gt;=2036,AEO!$L17,(IF(W$13&gt;=2026,AEO!$K17,AEO!$J17)))^Parameters!$H$8))^(V13-U13)*((V53/U53)^Parameters!$G$8)</f>
        <v>47279.303959517412</v>
      </c>
      <c r="W55" s="128">
        <f>V55*((IF(X$13&gt;=2036,AEO!$L17,(IF(X$13&gt;=2026,AEO!$K17,AEO!$J17)))^Parameters!$H$8))^(W13-V13)*((W53/V53)^Parameters!$G$8)</f>
        <v>47443.58418465827</v>
      </c>
      <c r="X55" s="128">
        <f>W55*((IF(Y$13&gt;=2036,AEO!$L17,(IF(Y$13&gt;=2026,AEO!$K17,AEO!$J17)))^Parameters!$H$8))^(X13-W13)*((X53/W53)^Parameters!$G$8)</f>
        <v>47606.183690322003</v>
      </c>
      <c r="Y55" s="128">
        <f>X55*((IF(Z$13&gt;=2036,AEO!$L17,(IF(Z$13&gt;=2026,AEO!$K17,AEO!$J17)))^Parameters!$H$8))^(Y13-X13)*((Y53/X53)^Parameters!$G$8)</f>
        <v>47767.134950130843</v>
      </c>
      <c r="Z55" s="128">
        <f>Y55*((IF(AA$13&gt;=2036,AEO!$L17,(IF(AA$13&gt;=2026,AEO!$K17,AEO!$J17)))^Parameters!$H$8))^(Z13-Y13)*((Z53/Y53)^Parameters!$G$8)</f>
        <v>47926.470443985563</v>
      </c>
      <c r="AA55" s="128">
        <f>Z55*((IF(AB$13&gt;=2036,AEO!$L17,(IF(AB$13&gt;=2026,AEO!$K17,AEO!$J17)))^Parameters!$H$8))^(AA13-Z13)*((AA53/Z53)^Parameters!$G$8)</f>
        <v>48024.161485116856</v>
      </c>
      <c r="AB55" s="128">
        <f>AA55*((IF(AC$13&gt;=2036,AEO!$L17,(IF(AC$13&gt;=2026,AEO!$K17,AEO!$J17)))^Parameters!$H$8))^(AB13-AA13)*((AB53/AA53)^Parameters!$G$8)</f>
        <v>48119.986644671466</v>
      </c>
      <c r="AC55" s="128">
        <f>AB55*((IF(AD$13&gt;=2036,AEO!$L17,(IF(AD$13&gt;=2026,AEO!$K17,AEO!$J17)))^Parameters!$H$8))^(AC13-AB13)*((AC53/AB53)^Parameters!$G$8)</f>
        <v>48213.984532190087</v>
      </c>
      <c r="AD55" s="128">
        <f>AC55*((IF(AE$13&gt;=2036,AEO!$L17,(IF(AE$13&gt;=2026,AEO!$K17,AEO!$J17)))^Parameters!$H$8))^(AD13-AC13)*((AD53/AC53)^Parameters!$G$8)</f>
        <v>48306.193454346147</v>
      </c>
      <c r="AE55" s="128">
        <f>AD55*((IF(AF$13&gt;=2036,AEO!$L17,(IF(AF$13&gt;=2026,AEO!$K17,AEO!$J17)))^Parameters!$H$8))^(AE13-AD13)*((AE53/AD53)^Parameters!$G$8)</f>
        <v>48396.651387698206</v>
      </c>
      <c r="AF55" s="128">
        <f>AE55*((IF(AG$13&gt;=2036,AEO!$L17,(IF(AG$13&gt;=2026,AEO!$K17,AEO!$J17)))^Parameters!$H$8))^(AF13-AE13)*((AF53/AE53)^Parameters!$G$8)</f>
        <v>48485.395953402636</v>
      </c>
      <c r="AG55" s="128">
        <f>AF55*((IF(AH$13&gt;=2036,AEO!$L17,(IF(AH$13&gt;=2026,AEO!$K17,AEO!$J17)))^Parameters!$H$8))^(AG13-AF13)*((AG53/AF53)^Parameters!$G$8)</f>
        <v>48572.464393824892</v>
      </c>
      <c r="AH55" s="128">
        <f>AG55*((IF(AI$13&gt;=2036,AEO!$L17,(IF(AI$13&gt;=2026,AEO!$K17,AEO!$J17)))^Parameters!$H$8))^(AH13-AG13)*((AH53/AG53)^Parameters!$G$8)</f>
        <v>48657.893550986366</v>
      </c>
      <c r="AI55" s="128">
        <f>AH55*((IF(AJ$13&gt;=2036,AEO!$L17,(IF(AJ$13&gt;=2026,AEO!$K17,AEO!$J17)))^Parameters!$H$8))^(AI13-AH13)*((AI53/AH53)^Parameters!$G$8)</f>
        <v>48741.719846782413</v>
      </c>
      <c r="AJ55" s="128">
        <f>AI55*((IF(AK$13&gt;=2036,AEO!$L17,(IF(AK$13&gt;=2026,AEO!$K17,AEO!$J17)))^Parameters!$H$8))^(AJ13-AI13)*((AJ53/AI53)^Parameters!$G$8)</f>
        <v>48823.979264906622</v>
      </c>
      <c r="AK55" s="128">
        <f>AJ55*((IF(AL$13&gt;=2036,AEO!$L17,(IF(AL$13&gt;=2026,AEO!$K17,AEO!$J17)))^Parameters!$H$8))^(AK13-AJ13)*((AK53/AJ53)^Parameters!$G$8)</f>
        <v>48936.420434268002</v>
      </c>
      <c r="AL55" s="128">
        <f>AK55*((IF(AM$13&gt;=2036,AEO!$L17,(IF(AM$13&gt;=2026,AEO!$K17,AEO!$J17)))^Parameters!$H$8))^(AL13-AK13)*((AL53/AK53)^Parameters!$G$8)</f>
        <v>49047.488671223466</v>
      </c>
      <c r="AM55" s="128">
        <f>AL55*((IF(AN$13&gt;=2036,AEO!$L17,(IF(AN$13&gt;=2026,AEO!$K17,AEO!$J17)))^Parameters!$H$8))^(AM13-AL13)*((AM53/AL53)^Parameters!$G$8)</f>
        <v>49186.797978484283</v>
      </c>
      <c r="AP55" s="7">
        <f>ROW()</f>
        <v>55</v>
      </c>
    </row>
    <row r="56" spans="2:42" ht="14" customHeight="1">
      <c r="B56" s="885" t="str">
        <f>CONCATENATE("Historical figures are from Row ",AP34, ". Future figures apply (i) income-elasticity for diesel in Parameters page, Row ",Parameters!O8,", to assumed GDP growth rates in 'AEO' tab, Row ",AEO!P17, "; and (ii) price-elasticity for diesel in same row in Parameters page, to ratio of year's 2012-$ price to prior year's 2012-$ price calculated from Row ",AP53, ".")</f>
        <v>Historical figures are from Row 34. Future figures apply (i) income-elasticity for diesel in Parameters page, Row 8, to assumed GDP growth rates in 'AEO' tab, Row 17; and (ii) price-elasticity for diesel in same row in Parameters page, to ratio of year's 2012-$ price to prior year's 2012-$ price calculated from Row 53.</v>
      </c>
      <c r="C56" s="738"/>
      <c r="D56" s="738"/>
      <c r="E56" s="738"/>
      <c r="F56" s="738"/>
      <c r="G56" s="738"/>
      <c r="H56" s="738"/>
      <c r="I56" s="738"/>
      <c r="J56" s="738"/>
      <c r="K56" s="738"/>
      <c r="L56" s="738"/>
      <c r="M56" s="738"/>
      <c r="N56" s="738"/>
      <c r="O56" s="738"/>
      <c r="P56" s="739"/>
      <c r="Q56" s="338"/>
      <c r="R56" s="328"/>
      <c r="S56" s="328"/>
      <c r="T56" s="328"/>
      <c r="U56" s="328"/>
      <c r="V56" s="328"/>
      <c r="W56" s="328"/>
      <c r="X56" s="328"/>
      <c r="Y56" s="328"/>
      <c r="Z56" s="328"/>
      <c r="AA56" s="328"/>
      <c r="AB56" s="328"/>
      <c r="AC56" s="328"/>
      <c r="AD56" s="328"/>
      <c r="AE56" s="328"/>
      <c r="AF56" s="328"/>
      <c r="AG56" s="328"/>
      <c r="AH56" s="328"/>
      <c r="AI56" s="328"/>
      <c r="AJ56" s="328"/>
      <c r="AK56" s="328"/>
      <c r="AL56" s="328"/>
      <c r="AM56" s="328"/>
      <c r="AP56" s="7">
        <f>ROW()</f>
        <v>56</v>
      </c>
    </row>
    <row r="57" spans="2:42" ht="14" customHeight="1">
      <c r="B57" s="738"/>
      <c r="C57" s="738"/>
      <c r="D57" s="738"/>
      <c r="E57" s="738"/>
      <c r="F57" s="738"/>
      <c r="G57" s="738"/>
      <c r="H57" s="738"/>
      <c r="I57" s="738"/>
      <c r="J57" s="738"/>
      <c r="K57" s="738"/>
      <c r="L57" s="738"/>
      <c r="M57" s="738"/>
      <c r="N57" s="738"/>
      <c r="O57" s="738"/>
      <c r="P57" s="739"/>
      <c r="Q57" s="333"/>
      <c r="R57" s="328"/>
      <c r="S57" s="328"/>
      <c r="T57" s="328"/>
      <c r="U57" s="328"/>
      <c r="V57" s="328"/>
      <c r="W57" s="328"/>
      <c r="X57" s="328"/>
      <c r="Y57" s="328"/>
      <c r="Z57" s="328"/>
      <c r="AA57" s="328"/>
      <c r="AB57" s="328"/>
      <c r="AC57" s="328"/>
      <c r="AD57" s="328"/>
      <c r="AE57" s="328"/>
      <c r="AF57" s="328"/>
      <c r="AG57" s="328"/>
      <c r="AH57" s="328"/>
      <c r="AI57" s="328"/>
      <c r="AJ57" s="328"/>
      <c r="AK57" s="328"/>
      <c r="AL57" s="328"/>
      <c r="AM57" s="328"/>
      <c r="AP57" s="7">
        <f>ROW()</f>
        <v>57</v>
      </c>
    </row>
    <row r="58" spans="2:42" ht="14" customHeight="1">
      <c r="B58" s="32" t="s">
        <v>111</v>
      </c>
      <c r="C58" s="182"/>
      <c r="D58" s="182"/>
      <c r="E58" s="182"/>
      <c r="F58" s="182"/>
      <c r="G58" s="182"/>
      <c r="H58" s="182"/>
      <c r="I58" s="25">
        <f>I55*$K$28/Parameters!$H$14</f>
        <v>514.33831318509306</v>
      </c>
      <c r="J58" s="25">
        <f>J55*$K$28/Parameters!$H$14</f>
        <v>520.72193808811414</v>
      </c>
      <c r="K58" s="25">
        <f>K55*$K$28/Parameters!$H$14</f>
        <v>524.06800169899134</v>
      </c>
      <c r="L58" s="25">
        <f>L55*$K$28/Parameters!$H$14</f>
        <v>492.78062079101261</v>
      </c>
      <c r="M58" s="25">
        <f>M55*$K$28/Parameters!$H$14</f>
        <v>453.52089048839792</v>
      </c>
      <c r="N58" s="25">
        <f>N55*$K$28/Parameters!$H$14</f>
        <v>474.65767081197976</v>
      </c>
      <c r="O58" s="25">
        <f>O55*$K$28/Parameters!$H$14</f>
        <v>486.96528963302654</v>
      </c>
      <c r="P58" s="25">
        <f>P55*$K$28/Parameters!$H$14</f>
        <v>467.46444589680084</v>
      </c>
      <c r="Q58" s="341">
        <f>Q55*$K$28/Parameters!$H$14</f>
        <v>472.87093502610531</v>
      </c>
      <c r="R58" s="25">
        <f>R55*$K$28/Parameters!$H$14</f>
        <v>474.63452162710308</v>
      </c>
      <c r="S58" s="25">
        <f>S55*$K$28/Parameters!$H$14</f>
        <v>476.37935301875177</v>
      </c>
      <c r="T58" s="25">
        <f>T55*$K$28/Parameters!$H$14</f>
        <v>478.1057533672132</v>
      </c>
      <c r="U58" s="25">
        <f>U55*$K$28/Parameters!$H$14</f>
        <v>479.81404904838757</v>
      </c>
      <c r="V58" s="25">
        <f>V55*$K$28/Parameters!$H$14</f>
        <v>481.50456817790763</v>
      </c>
      <c r="W58" s="25">
        <f>W55*$K$28/Parameters!$H$14</f>
        <v>483.17764016167342</v>
      </c>
      <c r="X58" s="25">
        <f>X55*$K$28/Parameters!$H$14</f>
        <v>484.8335952668416</v>
      </c>
      <c r="Y58" s="25">
        <f>Y55*$K$28/Parameters!$H$14</f>
        <v>486.47276421311676</v>
      </c>
      <c r="Z58" s="25">
        <f>Z55*$K$28/Parameters!$H$14</f>
        <v>488.09547778414606</v>
      </c>
      <c r="AA58" s="25">
        <f>AA55*$K$28/Parameters!$H$14</f>
        <v>489.09038842443488</v>
      </c>
      <c r="AB58" s="25">
        <f>AB55*$K$28/Parameters!$H$14</f>
        <v>490.06629644777274</v>
      </c>
      <c r="AC58" s="25">
        <f>AC55*$K$28/Parameters!$H$14</f>
        <v>491.02359506363314</v>
      </c>
      <c r="AD58" s="25">
        <f>AD55*$K$28/Parameters!$H$14</f>
        <v>491.96267439701165</v>
      </c>
      <c r="AE58" s="25">
        <f>AE55*$K$28/Parameters!$H$14</f>
        <v>492.88392121092937</v>
      </c>
      <c r="AF58" s="25">
        <f>AF55*$K$28/Parameters!$H$14</f>
        <v>493.78771864890001</v>
      </c>
      <c r="AG58" s="25">
        <f>AG55*$K$28/Parameters!$H$14</f>
        <v>494.6744459967336</v>
      </c>
      <c r="AH58" s="25">
        <f>AH55*$K$28/Parameters!$H$14</f>
        <v>495.54447846303339</v>
      </c>
      <c r="AI58" s="25">
        <f>AI55*$K$28/Parameters!$H$14</f>
        <v>496.39818697773131</v>
      </c>
      <c r="AJ58" s="25">
        <f>AJ55*$K$28/Parameters!$H$14</f>
        <v>497.23593800799983</v>
      </c>
      <c r="AK58" s="25">
        <f>AK55*$K$28/Parameters!$H$14</f>
        <v>498.38106774055944</v>
      </c>
      <c r="AL58" s="25">
        <f>AL55*$K$28/Parameters!$H$14</f>
        <v>499.51221517706398</v>
      </c>
      <c r="AM58" s="25">
        <f>AM55*$K$28/Parameters!$H$14</f>
        <v>500.93097692307481</v>
      </c>
      <c r="AP58" s="7">
        <f>ROW()</f>
        <v>58</v>
      </c>
    </row>
    <row r="59" spans="2:42" ht="14" customHeight="1">
      <c r="B59" s="366" t="str">
        <f>CONCATENATE("Product of Row ",AP55, " and Cell K",AP28, ", with conversion factor.")</f>
        <v>Product of Row 55 and Cell K28, with conversion factor.</v>
      </c>
      <c r="C59" s="182"/>
      <c r="D59" s="182"/>
      <c r="E59" s="182"/>
      <c r="F59" s="182"/>
      <c r="G59" s="182"/>
      <c r="H59" s="182"/>
      <c r="I59" s="182"/>
      <c r="J59" s="182"/>
      <c r="K59" s="182"/>
      <c r="L59" s="182"/>
      <c r="M59" s="182"/>
      <c r="N59" s="182"/>
      <c r="O59" s="182"/>
      <c r="P59" s="167"/>
      <c r="Q59" s="333"/>
      <c r="R59" s="328"/>
      <c r="S59" s="328"/>
      <c r="T59" s="328"/>
      <c r="U59" s="328"/>
      <c r="V59" s="328"/>
      <c r="W59" s="328"/>
      <c r="X59" s="328"/>
      <c r="Y59" s="328"/>
      <c r="Z59" s="328"/>
      <c r="AA59" s="328"/>
      <c r="AB59" s="328"/>
      <c r="AC59" s="328"/>
      <c r="AD59" s="328"/>
      <c r="AE59" s="328"/>
      <c r="AF59" s="328"/>
      <c r="AG59" s="328"/>
      <c r="AH59" s="328"/>
      <c r="AI59" s="328"/>
      <c r="AJ59" s="328"/>
      <c r="AK59" s="328"/>
      <c r="AL59" s="328"/>
      <c r="AM59" s="328"/>
      <c r="AP59" s="7">
        <f>ROW()</f>
        <v>59</v>
      </c>
    </row>
    <row r="60" spans="2:42" ht="14" customHeight="1">
      <c r="B60" s="32" t="s">
        <v>304</v>
      </c>
      <c r="K60" s="328">
        <f t="shared" ref="K60:AM60" si="8">K51+K21</f>
        <v>2.7509999999999999</v>
      </c>
      <c r="L60" s="328">
        <f t="shared" si="8"/>
        <v>3.6440000000000001</v>
      </c>
      <c r="M60" s="328">
        <f t="shared" si="8"/>
        <v>2.3380000000000001</v>
      </c>
      <c r="N60" s="328">
        <f t="shared" si="8"/>
        <v>2.8280000000000003</v>
      </c>
      <c r="O60" s="328">
        <f t="shared" si="8"/>
        <v>3.641</v>
      </c>
      <c r="P60" s="328">
        <f t="shared" si="8"/>
        <v>3.7430000000000003</v>
      </c>
      <c r="Q60" s="333">
        <f t="shared" si="8"/>
        <v>5.3609393753213377</v>
      </c>
      <c r="R60" s="328">
        <f t="shared" si="8"/>
        <v>5.5717812695217228</v>
      </c>
      <c r="S60" s="328">
        <f t="shared" si="8"/>
        <v>5.7921308640653626</v>
      </c>
      <c r="T60" s="328">
        <f t="shared" si="8"/>
        <v>6.0224424807535373</v>
      </c>
      <c r="U60" s="328">
        <f t="shared" si="8"/>
        <v>6.2631926209548352</v>
      </c>
      <c r="V60" s="328">
        <f t="shared" si="8"/>
        <v>6.5148810565456845</v>
      </c>
      <c r="W60" s="328">
        <f t="shared" si="8"/>
        <v>6.7780319746492959</v>
      </c>
      <c r="X60" s="328">
        <f t="shared" si="8"/>
        <v>7.0531951788283749</v>
      </c>
      <c r="Y60" s="328">
        <f t="shared" si="8"/>
        <v>7.3409473495180428</v>
      </c>
      <c r="Z60" s="328">
        <f t="shared" si="8"/>
        <v>7.6418933666229849</v>
      </c>
      <c r="AA60" s="328">
        <f t="shared" si="8"/>
        <v>7.9566676973472124</v>
      </c>
      <c r="AB60" s="328">
        <f t="shared" si="8"/>
        <v>8.2859358524763245</v>
      </c>
      <c r="AC60" s="328">
        <f t="shared" si="8"/>
        <v>8.6303959144911033</v>
      </c>
      <c r="AD60" s="328">
        <f t="shared" si="8"/>
        <v>8.9907801410581616</v>
      </c>
      <c r="AE60" s="328">
        <f t="shared" si="8"/>
        <v>9.3678566476183427</v>
      </c>
      <c r="AF60" s="328">
        <f t="shared" si="8"/>
        <v>9.7624311729773599</v>
      </c>
      <c r="AG60" s="328">
        <f t="shared" si="8"/>
        <v>10.175348931995872</v>
      </c>
      <c r="AH60" s="328">
        <f t="shared" si="8"/>
        <v>10.607496559678557</v>
      </c>
      <c r="AI60" s="328">
        <f t="shared" si="8"/>
        <v>11.059804151173944</v>
      </c>
      <c r="AJ60" s="328">
        <f t="shared" si="8"/>
        <v>11.533247402419638</v>
      </c>
      <c r="AK60" s="328">
        <f t="shared" si="8"/>
        <v>12.028849856401246</v>
      </c>
      <c r="AL60" s="328">
        <f t="shared" si="8"/>
        <v>12.547685260238659</v>
      </c>
      <c r="AM60" s="328">
        <f t="shared" si="8"/>
        <v>13.090880038570825</v>
      </c>
      <c r="AP60" s="7">
        <f>ROW()</f>
        <v>60</v>
      </c>
    </row>
    <row r="61" spans="2:42" ht="14" customHeight="1">
      <c r="B61" s="366" t="str">
        <f>CONCATENATE("Sum of Rows ",AP21, " and ",AP51, ".")</f>
        <v>Sum of Rows 21 and 51.</v>
      </c>
      <c r="M61"/>
      <c r="AP61" s="7">
        <f>ROW()</f>
        <v>61</v>
      </c>
    </row>
    <row r="62" spans="2:42" ht="14" customHeight="1">
      <c r="B62" s="32" t="s">
        <v>517</v>
      </c>
      <c r="K62" s="329">
        <f>K60/(AEO!$N$18)^(K$13-$P$13)</f>
        <v>3.0003883273644849</v>
      </c>
      <c r="L62" s="329">
        <f>L60/(AEO!$N$18)^(L$13-$P$13)</f>
        <v>3.9059607042208313</v>
      </c>
      <c r="M62" s="329">
        <f>M60/(AEO!$N$18)^(M$13-$P$13)</f>
        <v>2.4629558841085437</v>
      </c>
      <c r="N62" s="329">
        <f>N60/(AEO!$N$18)^(N$13-$P$13)</f>
        <v>2.9278859515167692</v>
      </c>
      <c r="O62" s="329">
        <f>O60/(AEO!$N$18)^(O$13-$P$13)</f>
        <v>3.7047427285678132</v>
      </c>
      <c r="P62" s="328">
        <f>P60/(AEO!$N$18)^(P$13-$P$13)</f>
        <v>3.7430000000000003</v>
      </c>
      <c r="Q62" s="333">
        <f>Q60/(AEO!$N$18)^(Q$13-$P$13)</f>
        <v>5.0889568669793173</v>
      </c>
      <c r="R62" s="329">
        <f>R60/(AEO!$N$18)^(R$13-$P$13)</f>
        <v>5.1980991319745895</v>
      </c>
      <c r="S62" s="329">
        <f>S60/(AEO!$N$18)^(S$13-$P$13)</f>
        <v>5.3106965727467133</v>
      </c>
      <c r="T62" s="329">
        <f>T60/(AEO!$N$18)^(T$13-$P$13)</f>
        <v>5.4268573840580174</v>
      </c>
      <c r="U62" s="329">
        <f>U60/(AEO!$N$18)^(U$13-$P$13)</f>
        <v>5.5466931498556367</v>
      </c>
      <c r="V62" s="329">
        <f>V60/(AEO!$N$18)^(V$13-$P$13)</f>
        <v>5.6703189494361972</v>
      </c>
      <c r="W62" s="329">
        <f>W60/(AEO!$N$18)^(W$13-$P$13)</f>
        <v>5.7978534669360418</v>
      </c>
      <c r="X62" s="329">
        <f>X60/(AEO!$N$18)^(X$13-$P$13)</f>
        <v>5.929419104251207</v>
      </c>
      <c r="Y62" s="329">
        <f>Y60/(AEO!$N$18)^(Y$13-$P$13)</f>
        <v>6.0651420974945527</v>
      </c>
      <c r="Z62" s="329">
        <f>Z60/(AEO!$N$18)^(Z$13-$P$13)</f>
        <v>6.2051526371008645</v>
      </c>
      <c r="AA62" s="329">
        <f>AA60/(AEO!$N$18)^(AA$13-$P$13)</f>
        <v>6.3495849916942033</v>
      </c>
      <c r="AB62" s="329">
        <f>AB60/(AEO!$N$18)^(AB$13-$P$13)</f>
        <v>6.4985776358353284</v>
      </c>
      <c r="AC62" s="329">
        <f>AC60/(AEO!$N$18)^(AC$13-$P$13)</f>
        <v>6.6522733817707564</v>
      </c>
      <c r="AD62" s="329">
        <f>AD60/(AEO!$N$18)^(AD$13-$P$13)</f>
        <v>6.8108195153088102</v>
      </c>
      <c r="AE62" s="329">
        <f>AE60/(AEO!$N$18)^(AE$13-$P$13)</f>
        <v>6.974367935951908</v>
      </c>
      <c r="AF62" s="329">
        <f>AF60/(AEO!$N$18)^(AF$13-$P$13)</f>
        <v>7.1430753014184507</v>
      </c>
      <c r="AG62" s="329">
        <f>AG60/(AEO!$N$18)^(AG$13-$P$13)</f>
        <v>7.3171031766917718</v>
      </c>
      <c r="AH62" s="329">
        <f>AH60/(AEO!$N$18)^(AH$13-$P$13)</f>
        <v>7.496618187738</v>
      </c>
      <c r="AI62" s="329">
        <f>AI60/(AEO!$N$18)^(AI$13-$P$13)</f>
        <v>7.6817921800390483</v>
      </c>
      <c r="AJ62" s="329">
        <f>AJ60/(AEO!$N$18)^(AJ$13-$P$13)</f>
        <v>7.8728023820915851</v>
      </c>
      <c r="AK62" s="329">
        <f>AK60/(AEO!$N$18)^(AK$13-$P$13)</f>
        <v>8.0698315740275426</v>
      </c>
      <c r="AL62" s="329">
        <f>AL60/(AEO!$N$18)^(AL$13-$P$13)</f>
        <v>8.2730682615165669</v>
      </c>
      <c r="AM62" s="329">
        <f>AM60/(AEO!$N$18)^(AM$13-$P$13)</f>
        <v>8.4827068551159162</v>
      </c>
      <c r="AP62" s="7">
        <f>ROW()</f>
        <v>62</v>
      </c>
    </row>
    <row r="63" spans="2:42" ht="14" customHeight="1">
      <c r="B63" s="366" t="str">
        <f>CONCATENATE("Row ",AP60, ", deflated by economy-wide price index in 'AEO' tab.")</f>
        <v>Row 60, deflated by economy-wide price index in 'AEO' tab.</v>
      </c>
      <c r="M63"/>
      <c r="AP63" s="7">
        <f>ROW()</f>
        <v>63</v>
      </c>
    </row>
    <row r="64" spans="2:42" ht="14" customHeight="1">
      <c r="B64" s="32" t="s">
        <v>591</v>
      </c>
      <c r="K64" s="15"/>
      <c r="L64" s="91" t="str">
        <f>CONCATENATE("Calculated as excess of Row ",AP60, " over Row ",AP51, ".")</f>
        <v>Calculated as excess of Row 60 over Row 51.</v>
      </c>
      <c r="M64" s="71"/>
      <c r="Q64" s="343">
        <f t="shared" ref="Q64:AM64" si="9">Q60/Q51-1</f>
        <v>0.25525983191700097</v>
      </c>
      <c r="R64" s="222">
        <f t="shared" si="9"/>
        <v>0.24823118489622176</v>
      </c>
      <c r="S64" s="222">
        <f t="shared" si="9"/>
        <v>0.24137038587655568</v>
      </c>
      <c r="T64" s="222">
        <f t="shared" si="9"/>
        <v>0.23467480415464559</v>
      </c>
      <c r="U64" s="222">
        <f t="shared" si="9"/>
        <v>0.22814177470565222</v>
      </c>
      <c r="V64" s="222">
        <f t="shared" si="9"/>
        <v>0.22176860328115722</v>
      </c>
      <c r="W64" s="222">
        <f t="shared" si="9"/>
        <v>0.21555257130026906</v>
      </c>
      <c r="X64" s="222">
        <f t="shared" si="9"/>
        <v>0.20949094053272743</v>
      </c>
      <c r="Y64" s="222">
        <f t="shared" si="9"/>
        <v>0.20358095757366135</v>
      </c>
      <c r="Z64" s="222">
        <f t="shared" si="9"/>
        <v>0.19781985811044156</v>
      </c>
      <c r="AA64" s="222">
        <f t="shared" si="9"/>
        <v>0.19220487098278705</v>
      </c>
      <c r="AB64" s="222">
        <f t="shared" si="9"/>
        <v>0.18673322203796094</v>
      </c>
      <c r="AC64" s="222">
        <f t="shared" si="9"/>
        <v>0.18140213778347225</v>
      </c>
      <c r="AD64" s="222">
        <f t="shared" si="9"/>
        <v>0.17620884884027155</v>
      </c>
      <c r="AE64" s="222">
        <f t="shared" si="9"/>
        <v>0.17115059319988268</v>
      </c>
      <c r="AF64" s="222">
        <f t="shared" si="9"/>
        <v>0.16622461928937815</v>
      </c>
      <c r="AG64" s="222">
        <f t="shared" si="9"/>
        <v>0.16142818884845922</v>
      </c>
      <c r="AH64" s="222">
        <f t="shared" si="9"/>
        <v>0.1567585796232509</v>
      </c>
      <c r="AI64" s="222">
        <f t="shared" si="9"/>
        <v>0.15221308788169918</v>
      </c>
      <c r="AJ64" s="222">
        <f t="shared" si="9"/>
        <v>0.14778903075570105</v>
      </c>
      <c r="AK64" s="222">
        <f t="shared" si="9"/>
        <v>0.14348374841529354</v>
      </c>
      <c r="AL64" s="222">
        <f t="shared" si="9"/>
        <v>0.13929460608039546</v>
      </c>
      <c r="AM64" s="222">
        <f t="shared" si="9"/>
        <v>0.13521899587571373</v>
      </c>
      <c r="AP64" s="7">
        <f>ROW()</f>
        <v>64</v>
      </c>
    </row>
    <row r="65" spans="1:42" ht="14" customHeight="1">
      <c r="B65" t="s">
        <v>121</v>
      </c>
      <c r="K65" s="20">
        <f>K28</f>
        <v>22.456286026151631</v>
      </c>
      <c r="L65" s="6">
        <f>$K$65*(1-$J$43)^(L17/$G$43)</f>
        <v>22.456286026151631</v>
      </c>
      <c r="M65" s="6">
        <f>$K$65*(1-$J$43)^(M17/$G$43)</f>
        <v>22.456286026151631</v>
      </c>
      <c r="N65" s="6">
        <f>$K$65*(1-$J$43)^(N17/$G$43)</f>
        <v>22.456286026151631</v>
      </c>
      <c r="O65" s="6">
        <f>$K$65*(1-$J$43)^(O17/$G$43)</f>
        <v>22.456286026151631</v>
      </c>
      <c r="P65" s="6">
        <f>$K$65*(1-$J$43)^(P17/$G$43)</f>
        <v>22.456286026151631</v>
      </c>
      <c r="Q65" s="370">
        <f>$K$65*(1-$J$43)^(Summary!Q98/$G$43)</f>
        <v>21.338532903757468</v>
      </c>
      <c r="R65" s="371">
        <f>$K$65*(1-$J$43)^(Summary!R98/$G$43)</f>
        <v>21.339779275875134</v>
      </c>
      <c r="S65" s="371">
        <f>$K$65*(1-$J$43)^(Summary!S98/$G$43)</f>
        <v>21.341024294828049</v>
      </c>
      <c r="T65" s="371">
        <f>$K$65*(1-$J$43)^(Summary!T98/$G$43)</f>
        <v>21.342267962002264</v>
      </c>
      <c r="U65" s="371">
        <f>$K$65*(1-$J$43)^(Summary!U98/$G$43)</f>
        <v>21.34351027878261</v>
      </c>
      <c r="V65" s="371">
        <f>$K$65*(1-$J$43)^(Summary!V98/$G$43)</f>
        <v>21.344751246552676</v>
      </c>
      <c r="W65" s="371">
        <f>$K$65*(1-$J$43)^(Summary!W98/$G$43)</f>
        <v>21.345990866694841</v>
      </c>
      <c r="X65" s="371">
        <f>$K$65*(1-$J$43)^(Summary!X98/$G$43)</f>
        <v>21.347229140590244</v>
      </c>
      <c r="Y65" s="371">
        <f>$K$65*(1-$J$43)^(Summary!Y98/$G$43)</f>
        <v>21.348466069618798</v>
      </c>
      <c r="Z65" s="371">
        <f>$K$65*(1-$J$43)^(Summary!Z98/$G$43)</f>
        <v>21.34970165515919</v>
      </c>
      <c r="AA65" s="371">
        <f>$K$65*(1-$J$43)^(Summary!AA98/$G$43)</f>
        <v>21.350935898588883</v>
      </c>
      <c r="AB65" s="371">
        <f>$K$65*(1-$J$43)^(Summary!AB98/$G$43)</f>
        <v>21.352168801284115</v>
      </c>
      <c r="AC65" s="371">
        <f>$K$65*(1-$J$43)^(Summary!AC98/$G$43)</f>
        <v>21.353400364619901</v>
      </c>
      <c r="AD65" s="371">
        <f>$K$65*(1-$J$43)^(Summary!AD98/$G$43)</f>
        <v>21.354630589970029</v>
      </c>
      <c r="AE65" s="371">
        <f>$K$65*(1-$J$43)^(Summary!AE98/$G$43)</f>
        <v>21.355859478707064</v>
      </c>
      <c r="AF65" s="371">
        <f>$K$65*(1-$J$43)^(Summary!AF98/$G$43)</f>
        <v>21.357087032202347</v>
      </c>
      <c r="AG65" s="371">
        <f>$K$65*(1-$J$43)^(Summary!AG98/$G$43)</f>
        <v>21.358313251826004</v>
      </c>
      <c r="AH65" s="371">
        <f>$K$65*(1-$J$43)^(Summary!AH98/$G$43)</f>
        <v>21.359538138946935</v>
      </c>
      <c r="AI65" s="371">
        <f>$K$65*(1-$J$43)^(Summary!AI98/$G$43)</f>
        <v>21.360761694932819</v>
      </c>
      <c r="AJ65" s="371">
        <f>$K$65*(1-$J$43)^(Summary!AJ98/$G$43)</f>
        <v>21.361983921150117</v>
      </c>
      <c r="AK65" s="371">
        <f>$K$65*(1-$J$43)^(Summary!AK98/$G$43)</f>
        <v>21.363204818964071</v>
      </c>
      <c r="AL65" s="371">
        <f>$K$65*(1-$J$43)^(Summary!AL98/$G$43)</f>
        <v>21.364424389738698</v>
      </c>
      <c r="AM65" s="371">
        <f>$K$65*(1-$J$43)^(Summary!AM98/$G$43)</f>
        <v>21.36564263483681</v>
      </c>
      <c r="AP65" s="7">
        <f>ROW()</f>
        <v>65</v>
      </c>
    </row>
    <row r="66" spans="1:42" ht="14" customHeight="1">
      <c r="B66" s="91" t="str">
        <f>CONCATENATE("Figures reduce baseline emission factor by percentage calculated from Cell I",AP43, " normalized by Cell F",AP43, ".")</f>
        <v>Figures reduce baseline emission factor by percentage calculated from Cell I43 normalized by Cell F43.</v>
      </c>
      <c r="C66" s="8"/>
      <c r="D66" s="8"/>
      <c r="E66" s="8"/>
      <c r="F66" s="8"/>
      <c r="G66" s="8"/>
      <c r="H66" s="8"/>
      <c r="K66" s="31"/>
      <c r="L66" s="31"/>
      <c r="M66" s="71"/>
      <c r="AP66" s="7">
        <f>ROW()</f>
        <v>66</v>
      </c>
    </row>
    <row r="67" spans="1:42" s="8" customFormat="1" ht="14" customHeight="1">
      <c r="I67" s="24"/>
      <c r="J67" s="24"/>
      <c r="K67" s="13">
        <f t="shared" ref="K67:AM67" si="10">K13</f>
        <v>2007</v>
      </c>
      <c r="L67" s="13">
        <f t="shared" si="10"/>
        <v>2008</v>
      </c>
      <c r="M67" s="13">
        <f t="shared" si="10"/>
        <v>2009</v>
      </c>
      <c r="N67" s="13">
        <f t="shared" si="10"/>
        <v>2010</v>
      </c>
      <c r="O67" s="13">
        <f t="shared" si="10"/>
        <v>2011</v>
      </c>
      <c r="P67" s="13">
        <f t="shared" si="10"/>
        <v>2012</v>
      </c>
      <c r="Q67" s="340">
        <f t="shared" si="10"/>
        <v>2015</v>
      </c>
      <c r="R67" s="166">
        <f t="shared" si="10"/>
        <v>2016</v>
      </c>
      <c r="S67" s="166">
        <f t="shared" si="10"/>
        <v>2017</v>
      </c>
      <c r="T67" s="166">
        <f t="shared" si="10"/>
        <v>2018</v>
      </c>
      <c r="U67" s="166">
        <f t="shared" si="10"/>
        <v>2019</v>
      </c>
      <c r="V67" s="166">
        <f t="shared" si="10"/>
        <v>2020</v>
      </c>
      <c r="W67" s="166">
        <f t="shared" si="10"/>
        <v>2021</v>
      </c>
      <c r="X67" s="166">
        <f t="shared" si="10"/>
        <v>2022</v>
      </c>
      <c r="Y67" s="166">
        <f t="shared" si="10"/>
        <v>2023</v>
      </c>
      <c r="Z67" s="166">
        <f t="shared" si="10"/>
        <v>2024</v>
      </c>
      <c r="AA67" s="166">
        <f t="shared" si="10"/>
        <v>2025</v>
      </c>
      <c r="AB67" s="166">
        <f t="shared" si="10"/>
        <v>2026</v>
      </c>
      <c r="AC67" s="166">
        <f t="shared" si="10"/>
        <v>2027</v>
      </c>
      <c r="AD67" s="166">
        <f t="shared" si="10"/>
        <v>2028</v>
      </c>
      <c r="AE67" s="166">
        <f t="shared" si="10"/>
        <v>2029</v>
      </c>
      <c r="AF67" s="166">
        <f t="shared" si="10"/>
        <v>2030</v>
      </c>
      <c r="AG67" s="166">
        <f t="shared" si="10"/>
        <v>2031</v>
      </c>
      <c r="AH67" s="166">
        <f t="shared" si="10"/>
        <v>2032</v>
      </c>
      <c r="AI67" s="166">
        <f t="shared" si="10"/>
        <v>2033</v>
      </c>
      <c r="AJ67" s="166">
        <f t="shared" si="10"/>
        <v>2034</v>
      </c>
      <c r="AK67" s="166">
        <f t="shared" si="10"/>
        <v>2035</v>
      </c>
      <c r="AL67" s="166">
        <f t="shared" si="10"/>
        <v>2036</v>
      </c>
      <c r="AM67" s="166">
        <f t="shared" si="10"/>
        <v>2037</v>
      </c>
      <c r="AN67" s="25"/>
      <c r="AP67" s="7">
        <f>ROW()</f>
        <v>67</v>
      </c>
    </row>
    <row r="68" spans="1:42" s="8" customFormat="1" ht="14" customHeight="1">
      <c r="B68" s="8" t="s">
        <v>190</v>
      </c>
      <c r="J68" s="91" t="str">
        <f>CONCATENATE("Row ",AP55, " (sales w/o c-tax), x (one plus Row ",AP64, ") raised to diesel price-elasticity.")</f>
        <v>Row 55 (sales w/o c-tax), x (one plus Row 64) raised to diesel price-elasticity.</v>
      </c>
      <c r="M68" s="115"/>
      <c r="N68"/>
      <c r="O68"/>
      <c r="P68" s="327"/>
      <c r="Q68" s="341">
        <f>Q55*(1+Q64)^Parameters!$G$8</f>
        <v>41442.549763018214</v>
      </c>
      <c r="R68" s="115">
        <f>R55*(1+R64)^Parameters!$G$8</f>
        <v>41714.060903898004</v>
      </c>
      <c r="S68" s="115">
        <f>S55*(1+S64)^Parameters!$G$8</f>
        <v>41982.945237605127</v>
      </c>
      <c r="T68" s="115">
        <f>T55*(1+T64)^Parameters!$G$8</f>
        <v>42249.185379039467</v>
      </c>
      <c r="U68" s="115">
        <f>U55*(1+U64)^Parameters!$G$8</f>
        <v>42512.766811230504</v>
      </c>
      <c r="V68" s="115">
        <f>V55*(1+V64)^Parameters!$G$8</f>
        <v>42773.677829869957</v>
      </c>
      <c r="W68" s="115">
        <f>W55*(1+W64)^Parameters!$G$8</f>
        <v>43031.909483049239</v>
      </c>
      <c r="X68" s="115">
        <f>X55*(1+X64)^Parameters!$G$8</f>
        <v>43287.455506577367</v>
      </c>
      <c r="Y68" s="115">
        <f>Y55*(1+Y64)^Parameters!$G$8</f>
        <v>43540.312255258752</v>
      </c>
      <c r="Z68" s="115">
        <f>Z55*(1+Z64)^Parameters!$G$8</f>
        <v>43790.478630512407</v>
      </c>
      <c r="AA68" s="115">
        <f>AA55*(1+AA64)^Parameters!$G$8</f>
        <v>43982.94898675321</v>
      </c>
      <c r="AB68" s="115">
        <f>AB55*(1+AB64)^Parameters!$G$8</f>
        <v>44172.19166600766</v>
      </c>
      <c r="AC68" s="115">
        <f>AC55*(1+AC64)^Parameters!$G$8</f>
        <v>44358.223830291885</v>
      </c>
      <c r="AD68" s="115">
        <f>AD55*(1+AD64)^Parameters!$G$8</f>
        <v>44541.064801429275</v>
      </c>
      <c r="AE68" s="115">
        <f>AE55*(1+AE64)^Parameters!$G$8</f>
        <v>44720.735962830215</v>
      </c>
      <c r="AF68" s="115">
        <f>AF55*(1+AF64)^Parameters!$G$8</f>
        <v>44897.26066051134</v>
      </c>
      <c r="AG68" s="115">
        <f>AG55*(1+AG64)^Parameters!$G$8</f>
        <v>45070.664103697673</v>
      </c>
      <c r="AH68" s="115">
        <f>AH55*(1+AH64)^Parameters!$G$8</f>
        <v>45240.973265335153</v>
      </c>
      <c r="AI68" s="115">
        <f>AI55*(1+AI64)^Parameters!$G$8</f>
        <v>45408.216782824355</v>
      </c>
      <c r="AJ68" s="115">
        <f>AJ55*(1+AJ64)^Parameters!$G$8</f>
        <v>45572.424859269042</v>
      </c>
      <c r="AK68" s="115">
        <f>AK55*(1+AK64)^Parameters!$G$8</f>
        <v>45763.285925107113</v>
      </c>
      <c r="AL68" s="115">
        <f>AL55*(1+AL64)^Parameters!$G$8</f>
        <v>45951.400778975127</v>
      </c>
      <c r="AM68" s="115">
        <f>AM55*(1+AM64)^Parameters!$G$8</f>
        <v>46164.562744750256</v>
      </c>
      <c r="AN68" s="25"/>
      <c r="AP68" s="7">
        <f>ROW()</f>
        <v>68</v>
      </c>
    </row>
    <row r="69" spans="1:42" s="8" customFormat="1" ht="14" customHeight="1">
      <c r="B69" s="8" t="s">
        <v>514</v>
      </c>
      <c r="I69" s="24"/>
      <c r="J69" s="91" t="str">
        <f>CONCATENATE("Product of Rows ",AP68, " and ",AP65, ", with appropriate conversion factor.")</f>
        <v>Product of Rows 68 and 65, with appropriate conversion factor.</v>
      </c>
      <c r="M69" s="139"/>
      <c r="N69"/>
      <c r="O69"/>
      <c r="P69" s="327"/>
      <c r="Q69" s="341">
        <f>Q68*Q65/Parameters!$H$14</f>
        <v>401.0536107636147</v>
      </c>
      <c r="R69" s="115">
        <f>R68*R65/Parameters!$H$14</f>
        <v>403.70469496126793</v>
      </c>
      <c r="S69" s="115">
        <f>S68*S65/Parameters!$H$14</f>
        <v>406.33063686356758</v>
      </c>
      <c r="T69" s="115">
        <f>T68*T65/Parameters!$H$14</f>
        <v>408.93126328152766</v>
      </c>
      <c r="U69" s="115">
        <f>U68*U65/Parameters!$H$14</f>
        <v>411.50642875963104</v>
      </c>
      <c r="V69" s="115">
        <f>V68*V65/Parameters!$H$14</f>
        <v>414.05601504705641</v>
      </c>
      <c r="W69" s="115">
        <f>W68*W65/Parameters!$H$14</f>
        <v>416.57993052227124</v>
      </c>
      <c r="X69" s="115">
        <f>X68*X65/Parameters!$H$14</f>
        <v>419.07810957460862</v>
      </c>
      <c r="Y69" s="115">
        <f>Y68*Y65/Parameters!$H$14</f>
        <v>421.55051194648479</v>
      </c>
      <c r="Z69" s="115">
        <f>Z68*Z65/Parameters!$H$14</f>
        <v>423.99712203993829</v>
      </c>
      <c r="AA69" s="115">
        <f>AA68*AA65/Parameters!$H$14</f>
        <v>425.88531720955672</v>
      </c>
      <c r="AB69" s="115">
        <f>AB68*AB65/Parameters!$H$14</f>
        <v>427.7424457030707</v>
      </c>
      <c r="AC69" s="115">
        <f>AC68*AC65/Parameters!$H$14</f>
        <v>429.568667987141</v>
      </c>
      <c r="AD69" s="115">
        <f>AD68*AD65/Parameters!$H$14</f>
        <v>431.36416549589069</v>
      </c>
      <c r="AE69" s="115">
        <f>AE68*AE65/Parameters!$H$14</f>
        <v>433.12913968551635</v>
      </c>
      <c r="AF69" s="115">
        <f>AF68*AF65/Parameters!$H$14</f>
        <v>434.86381108118604</v>
      </c>
      <c r="AG69" s="115">
        <f>AG68*AG65/Parameters!$H$14</f>
        <v>436.56841831954858</v>
      </c>
      <c r="AH69" s="115">
        <f>AH68*AH65/Parameters!$H$14</f>
        <v>438.24321719002489</v>
      </c>
      <c r="AI69" s="115">
        <f>AI68*AI65/Parameters!$H$14</f>
        <v>439.8884796778957</v>
      </c>
      <c r="AJ69" s="115">
        <f>AJ68*AJ65/Parameters!$H$14</f>
        <v>441.50449301203042</v>
      </c>
      <c r="AK69" s="115">
        <f>AK68*AK65/Parameters!$H$14</f>
        <v>443.37888907341448</v>
      </c>
      <c r="AL69" s="115">
        <f>AL68*AL65/Parameters!$H$14</f>
        <v>445.22686056462311</v>
      </c>
      <c r="AM69" s="115">
        <f>AM68*AM65/Parameters!$H$14</f>
        <v>447.31770974958505</v>
      </c>
      <c r="AP69" s="7">
        <f>ROW()</f>
        <v>69</v>
      </c>
    </row>
    <row r="70" spans="1:42" s="8" customFormat="1" ht="14" customHeight="1">
      <c r="B70" s="8" t="s">
        <v>481</v>
      </c>
      <c r="I70" s="24"/>
      <c r="J70" s="91" t="str">
        <f>CONCATENATE("Row ",AP69, " less Row ",AP58, ".")</f>
        <v>Row 69 less Row 58.</v>
      </c>
      <c r="M70" s="139"/>
      <c r="N70"/>
      <c r="O70"/>
      <c r="P70" s="327"/>
      <c r="Q70" s="339">
        <f t="shared" ref="Q70:AM70" si="11">Q69-Q58</f>
        <v>-71.817324262490615</v>
      </c>
      <c r="R70" s="139">
        <f t="shared" si="11"/>
        <v>-70.929826665835151</v>
      </c>
      <c r="S70" s="139">
        <f t="shared" si="11"/>
        <v>-70.048716155184195</v>
      </c>
      <c r="T70" s="139">
        <f t="shared" si="11"/>
        <v>-69.174490085685534</v>
      </c>
      <c r="U70" s="139">
        <f t="shared" si="11"/>
        <v>-68.307620288756539</v>
      </c>
      <c r="V70" s="139">
        <f t="shared" si="11"/>
        <v>-67.448553130851224</v>
      </c>
      <c r="W70" s="139">
        <f t="shared" si="11"/>
        <v>-66.597709639402183</v>
      </c>
      <c r="X70" s="139">
        <f t="shared" si="11"/>
        <v>-65.75548569223298</v>
      </c>
      <c r="Y70" s="139">
        <f t="shared" si="11"/>
        <v>-64.922252266631972</v>
      </c>
      <c r="Z70" s="139">
        <f t="shared" si="11"/>
        <v>-64.098355744207765</v>
      </c>
      <c r="AA70" s="139">
        <f t="shared" si="11"/>
        <v>-63.20507121487816</v>
      </c>
      <c r="AB70" s="139">
        <f t="shared" si="11"/>
        <v>-62.323850744702042</v>
      </c>
      <c r="AC70" s="139">
        <f t="shared" si="11"/>
        <v>-61.45492707649214</v>
      </c>
      <c r="AD70" s="139">
        <f t="shared" si="11"/>
        <v>-60.598508901120965</v>
      </c>
      <c r="AE70" s="139">
        <f t="shared" si="11"/>
        <v>-59.754781525413023</v>
      </c>
      <c r="AF70" s="139">
        <f t="shared" si="11"/>
        <v>-58.923907567713968</v>
      </c>
      <c r="AG70" s="139">
        <f t="shared" si="11"/>
        <v>-58.106027677185011</v>
      </c>
      <c r="AH70" s="139">
        <f t="shared" si="11"/>
        <v>-57.301261273008492</v>
      </c>
      <c r="AI70" s="139">
        <f t="shared" si="11"/>
        <v>-56.509707299835611</v>
      </c>
      <c r="AJ70" s="139">
        <f t="shared" si="11"/>
        <v>-55.731444995969412</v>
      </c>
      <c r="AK70" s="139">
        <f t="shared" si="11"/>
        <v>-55.00217866714496</v>
      </c>
      <c r="AL70" s="139">
        <f t="shared" si="11"/>
        <v>-54.285354612440869</v>
      </c>
      <c r="AM70" s="139">
        <f t="shared" si="11"/>
        <v>-53.61326717348976</v>
      </c>
      <c r="AP70" s="7">
        <f>ROW()</f>
        <v>70</v>
      </c>
    </row>
    <row r="71" spans="1:42" s="8" customFormat="1" ht="14" customHeight="1">
      <c r="B71" s="8" t="s">
        <v>482</v>
      </c>
      <c r="I71" s="24"/>
      <c r="J71" s="91" t="str">
        <f>CONCATENATE("Row ",AP69, " less Cell I",AP58, ".")</f>
        <v>Row 69 less Cell I58.</v>
      </c>
      <c r="M71" s="139"/>
      <c r="N71"/>
      <c r="O71"/>
      <c r="P71" s="327"/>
      <c r="Q71" s="339">
        <f t="shared" ref="Q71:AM71" si="12">Q69-$I$58</f>
        <v>-113.28470242147836</v>
      </c>
      <c r="R71" s="139">
        <f t="shared" si="12"/>
        <v>-110.63361822382512</v>
      </c>
      <c r="S71" s="139">
        <f t="shared" si="12"/>
        <v>-108.00767632152548</v>
      </c>
      <c r="T71" s="139">
        <f t="shared" si="12"/>
        <v>-105.40704990356539</v>
      </c>
      <c r="U71" s="139">
        <f t="shared" si="12"/>
        <v>-102.83188442546202</v>
      </c>
      <c r="V71" s="139">
        <f t="shared" si="12"/>
        <v>-100.28229813803665</v>
      </c>
      <c r="W71" s="139">
        <f t="shared" si="12"/>
        <v>-97.758382662821816</v>
      </c>
      <c r="X71" s="139">
        <f t="shared" si="12"/>
        <v>-95.260203610484439</v>
      </c>
      <c r="Y71" s="139">
        <f t="shared" si="12"/>
        <v>-92.787801238608267</v>
      </c>
      <c r="Z71" s="139">
        <f t="shared" si="12"/>
        <v>-90.341191145154767</v>
      </c>
      <c r="AA71" s="139">
        <f t="shared" si="12"/>
        <v>-88.452995975536339</v>
      </c>
      <c r="AB71" s="139">
        <f t="shared" si="12"/>
        <v>-86.595867482022356</v>
      </c>
      <c r="AC71" s="139">
        <f t="shared" si="12"/>
        <v>-84.769645197952059</v>
      </c>
      <c r="AD71" s="139">
        <f t="shared" si="12"/>
        <v>-82.974147689202368</v>
      </c>
      <c r="AE71" s="139">
        <f t="shared" si="12"/>
        <v>-81.209173499576707</v>
      </c>
      <c r="AF71" s="139">
        <f t="shared" si="12"/>
        <v>-79.474502103907014</v>
      </c>
      <c r="AG71" s="139">
        <f t="shared" si="12"/>
        <v>-77.769894865544472</v>
      </c>
      <c r="AH71" s="139">
        <f t="shared" si="12"/>
        <v>-76.095095995068164</v>
      </c>
      <c r="AI71" s="139">
        <f t="shared" si="12"/>
        <v>-74.449833507197354</v>
      </c>
      <c r="AJ71" s="139">
        <f t="shared" si="12"/>
        <v>-72.833820173062634</v>
      </c>
      <c r="AK71" s="139">
        <f t="shared" si="12"/>
        <v>-70.959424111678572</v>
      </c>
      <c r="AL71" s="139">
        <f t="shared" si="12"/>
        <v>-69.111452620469947</v>
      </c>
      <c r="AM71" s="139">
        <f t="shared" si="12"/>
        <v>-67.020603435508008</v>
      </c>
      <c r="AN71" s="139"/>
      <c r="AP71" s="7">
        <f>ROW()</f>
        <v>71</v>
      </c>
    </row>
    <row r="72" spans="1:42" s="8" customFormat="1" ht="14" customHeight="1">
      <c r="B72" s="8" t="s">
        <v>368</v>
      </c>
      <c r="I72" s="24"/>
      <c r="J72" s="91" t="str">
        <f>CONCATENATE("Product of Rows ",AP17, " and ",AP69, ", with appropriate conversion factor.")</f>
        <v>Product of Rows 17 and 69, with appropriate conversion factor.</v>
      </c>
      <c r="M72" s="139"/>
      <c r="N72"/>
      <c r="O72"/>
      <c r="P72" s="327"/>
      <c r="Q72" s="342">
        <f t="shared" ref="Q72:AM72" si="13">ROUND(Q69*Q17,-2)/1000</f>
        <v>45.2</v>
      </c>
      <c r="R72" s="350">
        <f t="shared" si="13"/>
        <v>46.2</v>
      </c>
      <c r="S72" s="350">
        <f t="shared" si="13"/>
        <v>47.3</v>
      </c>
      <c r="T72" s="350">
        <f t="shared" si="13"/>
        <v>48.4</v>
      </c>
      <c r="U72" s="350">
        <f t="shared" si="13"/>
        <v>49.5</v>
      </c>
      <c r="V72" s="350">
        <f t="shared" si="13"/>
        <v>50.6</v>
      </c>
      <c r="W72" s="350">
        <f t="shared" si="13"/>
        <v>51.7</v>
      </c>
      <c r="X72" s="350">
        <f t="shared" si="13"/>
        <v>52.9</v>
      </c>
      <c r="Y72" s="350">
        <f t="shared" si="13"/>
        <v>54.1</v>
      </c>
      <c r="Z72" s="350">
        <f t="shared" si="13"/>
        <v>55.3</v>
      </c>
      <c r="AA72" s="350">
        <f t="shared" si="13"/>
        <v>56.4</v>
      </c>
      <c r="AB72" s="350">
        <f t="shared" si="13"/>
        <v>57.6</v>
      </c>
      <c r="AC72" s="350">
        <f t="shared" si="13"/>
        <v>58.8</v>
      </c>
      <c r="AD72" s="350">
        <f t="shared" si="13"/>
        <v>60</v>
      </c>
      <c r="AE72" s="350">
        <f t="shared" si="13"/>
        <v>61.2</v>
      </c>
      <c r="AF72" s="350">
        <f t="shared" si="13"/>
        <v>62.5</v>
      </c>
      <c r="AG72" s="350">
        <f t="shared" si="13"/>
        <v>63.7</v>
      </c>
      <c r="AH72" s="350">
        <f t="shared" si="13"/>
        <v>65</v>
      </c>
      <c r="AI72" s="350">
        <f t="shared" si="13"/>
        <v>66.3</v>
      </c>
      <c r="AJ72" s="350">
        <f t="shared" si="13"/>
        <v>67.7</v>
      </c>
      <c r="AK72" s="350">
        <f t="shared" si="13"/>
        <v>69.099999999999994</v>
      </c>
      <c r="AL72" s="350">
        <f t="shared" si="13"/>
        <v>70.5</v>
      </c>
      <c r="AM72" s="350">
        <f t="shared" si="13"/>
        <v>72</v>
      </c>
      <c r="AN72" s="25"/>
      <c r="AP72" s="7">
        <f>ROW()</f>
        <v>72</v>
      </c>
    </row>
    <row r="73" spans="1:42" s="8" customFormat="1" ht="14" customHeight="1">
      <c r="B73" s="8" t="s">
        <v>367</v>
      </c>
      <c r="I73" s="24"/>
      <c r="J73" s="91" t="str">
        <f>CONCATENATE("Row ",AP72, " prorated by ratio of Rows ",AP20, " and ",AP17, ".")</f>
        <v>Row 72 prorated by ratio of Rows 20 and 17.</v>
      </c>
      <c r="M73" s="139"/>
      <c r="N73"/>
      <c r="O73"/>
      <c r="P73" s="327"/>
      <c r="Q73" s="342">
        <f t="shared" ref="Q73:AM73" si="14">Q72*Q20/Q17</f>
        <v>0</v>
      </c>
      <c r="R73" s="350">
        <f t="shared" si="14"/>
        <v>0</v>
      </c>
      <c r="S73" s="350">
        <f t="shared" si="14"/>
        <v>0</v>
      </c>
      <c r="T73" s="350">
        <f t="shared" si="14"/>
        <v>0</v>
      </c>
      <c r="U73" s="350">
        <f t="shared" si="14"/>
        <v>0</v>
      </c>
      <c r="V73" s="350">
        <f t="shared" si="14"/>
        <v>0</v>
      </c>
      <c r="W73" s="350">
        <f t="shared" si="14"/>
        <v>0</v>
      </c>
      <c r="X73" s="350">
        <f t="shared" si="14"/>
        <v>0</v>
      </c>
      <c r="Y73" s="350">
        <f t="shared" si="14"/>
        <v>0</v>
      </c>
      <c r="Z73" s="350">
        <f t="shared" si="14"/>
        <v>0</v>
      </c>
      <c r="AA73" s="350">
        <f t="shared" si="14"/>
        <v>0</v>
      </c>
      <c r="AB73" s="350">
        <f t="shared" si="14"/>
        <v>0</v>
      </c>
      <c r="AC73" s="350">
        <f t="shared" si="14"/>
        <v>0</v>
      </c>
      <c r="AD73" s="350">
        <f t="shared" si="14"/>
        <v>0</v>
      </c>
      <c r="AE73" s="350">
        <f t="shared" si="14"/>
        <v>0</v>
      </c>
      <c r="AF73" s="350">
        <f t="shared" si="14"/>
        <v>0</v>
      </c>
      <c r="AG73" s="350">
        <f t="shared" si="14"/>
        <v>0</v>
      </c>
      <c r="AH73" s="350">
        <f t="shared" si="14"/>
        <v>0</v>
      </c>
      <c r="AI73" s="350">
        <f t="shared" si="14"/>
        <v>0</v>
      </c>
      <c r="AJ73" s="350">
        <f t="shared" si="14"/>
        <v>0</v>
      </c>
      <c r="AK73" s="350">
        <f t="shared" si="14"/>
        <v>0</v>
      </c>
      <c r="AL73" s="350">
        <f t="shared" si="14"/>
        <v>0</v>
      </c>
      <c r="AM73" s="350">
        <f t="shared" si="14"/>
        <v>0</v>
      </c>
      <c r="AN73" s="350"/>
      <c r="AP73" s="7">
        <f>ROW()</f>
        <v>73</v>
      </c>
    </row>
    <row r="74" spans="1:42" s="8" customFormat="1" ht="14" customHeight="1">
      <c r="B74" s="8" t="s">
        <v>504</v>
      </c>
      <c r="I74" s="24"/>
      <c r="J74" s="91" t="str">
        <f>CONCATENATE("Sum of Rows ",AP72, " and ",AP73, ".")</f>
        <v>Sum of Rows 72 and 73.</v>
      </c>
      <c r="M74" s="139"/>
      <c r="N74"/>
      <c r="O74"/>
      <c r="P74" s="327"/>
      <c r="Q74" s="342">
        <f>Q72+Q73</f>
        <v>45.2</v>
      </c>
      <c r="R74" s="350">
        <f t="shared" ref="R74:AM74" si="15">R72+R73</f>
        <v>46.2</v>
      </c>
      <c r="S74" s="350">
        <f t="shared" si="15"/>
        <v>47.3</v>
      </c>
      <c r="T74" s="350">
        <f t="shared" si="15"/>
        <v>48.4</v>
      </c>
      <c r="U74" s="350">
        <f t="shared" si="15"/>
        <v>49.5</v>
      </c>
      <c r="V74" s="350">
        <f t="shared" si="15"/>
        <v>50.6</v>
      </c>
      <c r="W74" s="350">
        <f t="shared" si="15"/>
        <v>51.7</v>
      </c>
      <c r="X74" s="350">
        <f t="shared" si="15"/>
        <v>52.9</v>
      </c>
      <c r="Y74" s="350">
        <f t="shared" si="15"/>
        <v>54.1</v>
      </c>
      <c r="Z74" s="350">
        <f t="shared" si="15"/>
        <v>55.3</v>
      </c>
      <c r="AA74" s="350">
        <f t="shared" si="15"/>
        <v>56.4</v>
      </c>
      <c r="AB74" s="350">
        <f t="shared" si="15"/>
        <v>57.6</v>
      </c>
      <c r="AC74" s="350">
        <f t="shared" si="15"/>
        <v>58.8</v>
      </c>
      <c r="AD74" s="350">
        <f t="shared" si="15"/>
        <v>60</v>
      </c>
      <c r="AE74" s="350">
        <f t="shared" si="15"/>
        <v>61.2</v>
      </c>
      <c r="AF74" s="350">
        <f t="shared" si="15"/>
        <v>62.5</v>
      </c>
      <c r="AG74" s="350">
        <f t="shared" si="15"/>
        <v>63.7</v>
      </c>
      <c r="AH74" s="350">
        <f t="shared" si="15"/>
        <v>65</v>
      </c>
      <c r="AI74" s="350">
        <f t="shared" si="15"/>
        <v>66.3</v>
      </c>
      <c r="AJ74" s="350">
        <f t="shared" si="15"/>
        <v>67.7</v>
      </c>
      <c r="AK74" s="350">
        <f t="shared" si="15"/>
        <v>69.099999999999994</v>
      </c>
      <c r="AL74" s="350">
        <f t="shared" si="15"/>
        <v>70.5</v>
      </c>
      <c r="AM74" s="350">
        <f t="shared" si="15"/>
        <v>72</v>
      </c>
      <c r="AN74" s="25"/>
      <c r="AP74" s="7">
        <f>ROW()</f>
        <v>74</v>
      </c>
    </row>
    <row r="75" spans="1:42" s="8" customFormat="1" ht="14" customHeight="1">
      <c r="A75"/>
      <c r="I75" s="24"/>
      <c r="J75" s="24"/>
      <c r="M75" s="139"/>
      <c r="N75" s="139"/>
      <c r="O75" s="139"/>
      <c r="P75" s="139"/>
      <c r="Q75" s="341"/>
      <c r="R75" s="25"/>
      <c r="S75" s="25"/>
      <c r="T75" s="25"/>
      <c r="U75" s="25"/>
      <c r="V75" s="25"/>
      <c r="W75" s="25"/>
      <c r="X75" s="25"/>
      <c r="Y75" s="25"/>
      <c r="Z75" s="25"/>
      <c r="AA75" s="25"/>
      <c r="AB75" s="25"/>
      <c r="AC75" s="25"/>
      <c r="AD75" s="25"/>
      <c r="AE75" s="25"/>
      <c r="AF75" s="25"/>
      <c r="AG75" s="25"/>
      <c r="AH75" s="25"/>
      <c r="AI75" s="25"/>
      <c r="AJ75" s="25"/>
      <c r="AK75" s="25"/>
      <c r="AL75" s="25"/>
      <c r="AM75" s="25"/>
      <c r="AN75" s="25"/>
      <c r="AP75" s="7">
        <f>ROW()</f>
        <v>75</v>
      </c>
    </row>
    <row r="76" spans="1:42" ht="14" customHeight="1">
      <c r="B76" s="56" t="s">
        <v>191</v>
      </c>
      <c r="I76" s="351">
        <f>-Parameters!G7</f>
        <v>0.4</v>
      </c>
      <c r="J76" s="56"/>
      <c r="M76" s="71"/>
      <c r="AP76" s="7">
        <f>ROW()</f>
        <v>76</v>
      </c>
    </row>
    <row r="77" spans="1:42" ht="14" customHeight="1">
      <c r="B77" s="3" t="s">
        <v>119</v>
      </c>
      <c r="M77" s="71"/>
      <c r="AP77" s="7">
        <f>ROW()</f>
        <v>77</v>
      </c>
    </row>
    <row r="78" spans="1:42" ht="14" customHeight="1">
      <c r="B78" s="3"/>
      <c r="I78" s="4"/>
      <c r="J78" s="4"/>
      <c r="M78" s="71"/>
      <c r="AP78" s="7">
        <f>ROW()</f>
        <v>78</v>
      </c>
    </row>
    <row r="79" spans="1:42" ht="14" customHeight="1">
      <c r="B79" s="8" t="s">
        <v>123</v>
      </c>
      <c r="D79" t="s">
        <v>91</v>
      </c>
      <c r="M79" s="71"/>
      <c r="Q79" s="344"/>
      <c r="R79" s="16"/>
      <c r="AP79" s="7">
        <f>ROW()</f>
        <v>79</v>
      </c>
    </row>
    <row r="80" spans="1:42" ht="14" customHeight="1">
      <c r="M80" s="71"/>
      <c r="AP80" s="7">
        <f>ROW()</f>
        <v>80</v>
      </c>
    </row>
    <row r="81" spans="1:42" ht="14" customHeight="1">
      <c r="B81" s="738" t="s">
        <v>754</v>
      </c>
      <c r="C81" s="738"/>
      <c r="D81" s="738"/>
      <c r="E81" s="738"/>
      <c r="F81" s="738"/>
      <c r="G81" s="738"/>
      <c r="H81" s="738"/>
      <c r="J81" s="58"/>
      <c r="M81" s="71"/>
      <c r="AP81" s="7">
        <f>ROW()</f>
        <v>81</v>
      </c>
    </row>
    <row r="82" spans="1:42" ht="14" customHeight="1">
      <c r="B82" s="738"/>
      <c r="C82" s="738"/>
      <c r="D82" s="738"/>
      <c r="E82" s="738"/>
      <c r="F82" s="738"/>
      <c r="G82" s="738"/>
      <c r="H82" s="738"/>
      <c r="J82" s="58"/>
      <c r="M82" s="71"/>
      <c r="AP82" s="7">
        <f>ROW()</f>
        <v>82</v>
      </c>
    </row>
    <row r="83" spans="1:42" ht="14" customHeight="1">
      <c r="M83" s="71"/>
      <c r="AP83" s="7">
        <f>ROW()</f>
        <v>83</v>
      </c>
    </row>
    <row r="84" spans="1:42" ht="14" customHeight="1">
      <c r="B84" s="13" t="s">
        <v>606</v>
      </c>
      <c r="F84" s="12"/>
      <c r="G84" s="12">
        <f>HLOOKUP(10,Q15:AM30,16)</f>
        <v>2024</v>
      </c>
      <c r="H84" s="12"/>
      <c r="M84" s="71"/>
      <c r="AP84" s="7">
        <f>ROW()</f>
        <v>84</v>
      </c>
    </row>
    <row r="85" spans="1:42" ht="14" customHeight="1">
      <c r="M85" s="71"/>
      <c r="AP85" s="7">
        <f>ROW()</f>
        <v>85</v>
      </c>
    </row>
    <row r="86" spans="1:42" ht="14" customHeight="1">
      <c r="A86" s="13"/>
      <c r="B86" s="32" t="s">
        <v>627</v>
      </c>
      <c r="G86" s="38">
        <f>HLOOKUP(G84,Q43:AM55,13)</f>
        <v>47926.470443985563</v>
      </c>
      <c r="H86" s="38"/>
      <c r="M86" s="71"/>
      <c r="AP86" s="7">
        <f>ROW()</f>
        <v>86</v>
      </c>
    </row>
    <row r="87" spans="1:42" ht="14" customHeight="1">
      <c r="B87" s="32" t="s">
        <v>628</v>
      </c>
      <c r="G87" s="38">
        <f>HLOOKUP(G84,Q67:AM68,2)</f>
        <v>43790.478630512407</v>
      </c>
      <c r="H87" s="38"/>
      <c r="M87" s="71"/>
      <c r="AP87" s="7">
        <f>ROW()</f>
        <v>87</v>
      </c>
    </row>
    <row r="88" spans="1:42" s="13" customFormat="1" ht="14" customHeight="1">
      <c r="A88"/>
      <c r="B88" s="13" t="s">
        <v>7</v>
      </c>
      <c r="G88" s="39">
        <f>G87/G86</f>
        <v>0.91370130587214582</v>
      </c>
      <c r="H88" s="39"/>
      <c r="M88" s="166"/>
      <c r="N88" s="166"/>
      <c r="O88" s="166"/>
      <c r="P88" s="166"/>
      <c r="Q88" s="340"/>
      <c r="AP88" s="7">
        <f>ROW()</f>
        <v>88</v>
      </c>
    </row>
    <row r="89" spans="1:42" ht="14" customHeight="1">
      <c r="M89" s="71"/>
      <c r="AP89" s="7">
        <f>ROW()</f>
        <v>89</v>
      </c>
    </row>
    <row r="90" spans="1:42" ht="14" customHeight="1">
      <c r="A90" s="13"/>
      <c r="B90" t="s">
        <v>0</v>
      </c>
      <c r="G90" s="21">
        <f>K65</f>
        <v>22.456286026151631</v>
      </c>
      <c r="H90" s="21"/>
      <c r="M90" s="71"/>
      <c r="AP90" s="7">
        <f>ROW()</f>
        <v>90</v>
      </c>
    </row>
    <row r="91" spans="1:42" ht="14" customHeight="1">
      <c r="B91" t="s">
        <v>1</v>
      </c>
      <c r="G91" s="21">
        <f>HLOOKUP(G84,Q43:AM65,23)</f>
        <v>21.34970165515919</v>
      </c>
      <c r="H91" s="21"/>
      <c r="M91" s="71"/>
      <c r="AP91" s="7">
        <f>ROW()</f>
        <v>91</v>
      </c>
    </row>
    <row r="92" spans="1:42" s="13" customFormat="1" ht="14" customHeight="1">
      <c r="A92"/>
      <c r="B92" s="13" t="s">
        <v>7</v>
      </c>
      <c r="G92" s="39">
        <f>G91/G90</f>
        <v>0.95072273439589439</v>
      </c>
      <c r="H92" s="39"/>
      <c r="M92" s="166"/>
      <c r="N92" s="166"/>
      <c r="O92" s="166"/>
      <c r="P92" s="166"/>
      <c r="Q92" s="340"/>
      <c r="AP92" s="7">
        <f>ROW()</f>
        <v>92</v>
      </c>
    </row>
    <row r="93" spans="1:42" ht="14" customHeight="1">
      <c r="G93" s="21"/>
      <c r="H93" s="21"/>
      <c r="M93" s="71"/>
      <c r="AP93" s="7">
        <f>ROW()</f>
        <v>93</v>
      </c>
    </row>
    <row r="94" spans="1:42" ht="14" customHeight="1">
      <c r="B94" s="3" t="s">
        <v>165</v>
      </c>
      <c r="G94" s="21"/>
      <c r="H94" s="21"/>
      <c r="M94" s="71"/>
      <c r="AP94" s="7">
        <f>ROW()</f>
        <v>94</v>
      </c>
    </row>
    <row r="95" spans="1:42" ht="14" customHeight="1">
      <c r="A95" s="13"/>
      <c r="B95" s="32" t="s">
        <v>629</v>
      </c>
      <c r="G95" s="38">
        <f>HLOOKUP(G84,Q43:AM58,16)</f>
        <v>488.09547778414606</v>
      </c>
      <c r="H95" s="21"/>
      <c r="M95" s="71"/>
      <c r="AP95" s="7">
        <f>ROW()</f>
        <v>95</v>
      </c>
    </row>
    <row r="96" spans="1:42" ht="14" customHeight="1">
      <c r="A96" s="13"/>
      <c r="B96" s="32" t="s">
        <v>630</v>
      </c>
      <c r="G96" s="38">
        <f>HLOOKUP(G84,Q67:AM69,3)</f>
        <v>423.99712203993829</v>
      </c>
      <c r="H96" s="21"/>
      <c r="M96" s="71"/>
      <c r="AP96" s="7">
        <f>ROW()</f>
        <v>96</v>
      </c>
    </row>
    <row r="97" spans="1:42" ht="14" customHeight="1">
      <c r="A97" s="13"/>
      <c r="B97" s="13" t="s">
        <v>7</v>
      </c>
      <c r="C97" s="13"/>
      <c r="D97" s="13"/>
      <c r="E97" s="13"/>
      <c r="F97" s="13"/>
      <c r="G97" s="57">
        <f>G96/G95</f>
        <v>0.86867660393986601</v>
      </c>
      <c r="H97" s="57"/>
      <c r="M97" s="71"/>
      <c r="AP97" s="7">
        <f>ROW()</f>
        <v>97</v>
      </c>
    </row>
    <row r="98" spans="1:42" ht="14" customHeight="1">
      <c r="G98" s="21"/>
      <c r="H98" s="21"/>
      <c r="M98" s="71"/>
      <c r="AP98" s="7">
        <f>ROW()</f>
        <v>98</v>
      </c>
    </row>
    <row r="99" spans="1:42" ht="14" customHeight="1">
      <c r="B99" s="13" t="s">
        <v>6</v>
      </c>
      <c r="C99" s="13"/>
      <c r="D99" s="13"/>
      <c r="E99" s="13"/>
      <c r="F99" s="13"/>
      <c r="G99" s="57">
        <f>G92*G88</f>
        <v>0.8686766039398659</v>
      </c>
      <c r="H99" s="57"/>
      <c r="M99" s="71"/>
      <c r="AP99" s="7">
        <f>ROW()</f>
        <v>99</v>
      </c>
    </row>
    <row r="100" spans="1:42" ht="14" customHeight="1">
      <c r="G100" s="21"/>
      <c r="H100" s="21"/>
      <c r="M100" s="71"/>
      <c r="AP100" s="7">
        <f>ROW()</f>
        <v>100</v>
      </c>
    </row>
    <row r="101" spans="1:42" ht="14" customHeight="1">
      <c r="B101" t="s">
        <v>127</v>
      </c>
      <c r="G101" s="21"/>
      <c r="H101" s="21"/>
      <c r="M101" s="71"/>
      <c r="AP101" s="7">
        <f>ROW()</f>
        <v>101</v>
      </c>
    </row>
    <row r="102" spans="1:42" ht="14" customHeight="1">
      <c r="B102" t="s">
        <v>128</v>
      </c>
      <c r="G102" s="6">
        <f>(1-G88)/(1-G92)</f>
        <v>1.7512882070441844</v>
      </c>
      <c r="H102" s="6"/>
      <c r="M102" s="71"/>
      <c r="AP102" s="7">
        <f>ROW()</f>
        <v>102</v>
      </c>
    </row>
    <row r="103" spans="1:42" ht="14" customHeight="1">
      <c r="M103" s="71"/>
      <c r="AP103" s="7">
        <f>ROW()</f>
        <v>103</v>
      </c>
    </row>
    <row r="104" spans="1:42" ht="14" customHeight="1">
      <c r="B104" s="40" t="s">
        <v>129</v>
      </c>
      <c r="C104" s="41"/>
      <c r="D104" s="41"/>
      <c r="E104" s="41"/>
      <c r="F104" s="41"/>
      <c r="G104" s="42">
        <f>G102/(1+G102)</f>
        <v>0.6365338980337728</v>
      </c>
      <c r="H104" s="110"/>
      <c r="M104" s="71"/>
      <c r="AP104" s="7">
        <f>ROW()</f>
        <v>104</v>
      </c>
    </row>
    <row r="105" spans="1:42" ht="14" customHeight="1">
      <c r="B105" s="43" t="s">
        <v>130</v>
      </c>
      <c r="C105" s="44"/>
      <c r="D105" s="44"/>
      <c r="E105" s="44"/>
      <c r="F105" s="44"/>
      <c r="G105" s="45">
        <f>1-G104</f>
        <v>0.3634661019662272</v>
      </c>
      <c r="H105" s="111"/>
      <c r="M105" s="71"/>
      <c r="AP105" s="7">
        <f>ROW()</f>
        <v>105</v>
      </c>
    </row>
    <row r="106" spans="1:42" ht="14" customHeight="1">
      <c r="M106" s="71"/>
      <c r="AP106" s="7">
        <f>ROW()</f>
        <v>106</v>
      </c>
    </row>
    <row r="107" spans="1:42" ht="14" customHeight="1">
      <c r="B107" s="32" t="s">
        <v>85</v>
      </c>
      <c r="G107" s="38">
        <f>G95-G96</f>
        <v>64.098355744207765</v>
      </c>
      <c r="M107" s="71"/>
      <c r="AP107" s="7">
        <f>ROW()</f>
        <v>107</v>
      </c>
    </row>
    <row r="108" spans="1:42" ht="14" customHeight="1">
      <c r="B108" s="91" t="str">
        <f>CONCATENATE("Difference between Rows ",AP95," and ",AP96, ".")</f>
        <v>Difference between Rows 95 and 96.</v>
      </c>
      <c r="M108" s="71"/>
      <c r="AP108" s="7">
        <f>ROW()</f>
        <v>108</v>
      </c>
    </row>
    <row r="109" spans="1:42" ht="14" customHeight="1">
      <c r="B109" s="32" t="s">
        <v>910</v>
      </c>
      <c r="G109" s="38">
        <f>G104*$G$107</f>
        <v>40.800776239416038</v>
      </c>
      <c r="M109" s="71"/>
      <c r="AP109" s="7">
        <f>ROW()</f>
        <v>109</v>
      </c>
    </row>
    <row r="110" spans="1:42" ht="14" customHeight="1">
      <c r="B110" s="32" t="s">
        <v>911</v>
      </c>
      <c r="G110" s="38">
        <f>G105*$G$107</f>
        <v>23.297579504791724</v>
      </c>
      <c r="M110" s="71"/>
      <c r="AP110" s="7">
        <f>ROW()</f>
        <v>110</v>
      </c>
    </row>
    <row r="111" spans="1:42" ht="14" customHeight="1">
      <c r="B111" s="91" t="str">
        <f>CONCATENATE("Product of Rows ",AP107," and Rows ",AP104, " and ",AP105, ", respectively.")</f>
        <v>Product of Rows 107 and Rows 104 and 105, respectively.</v>
      </c>
      <c r="M111" s="71"/>
    </row>
    <row r="112" spans="1:42" ht="14" customHeight="1">
      <c r="M112" s="71"/>
    </row>
    <row r="113" spans="13:13" ht="14" customHeight="1">
      <c r="M113" s="71"/>
    </row>
    <row r="114" spans="13:13" ht="14" customHeight="1">
      <c r="M114" s="71"/>
    </row>
    <row r="115" spans="13:13" ht="14" customHeight="1">
      <c r="M115" s="71"/>
    </row>
    <row r="116" spans="13:13" ht="14" customHeight="1">
      <c r="M116" s="71"/>
    </row>
    <row r="117" spans="13:13" ht="14" customHeight="1">
      <c r="M117" s="71"/>
    </row>
    <row r="118" spans="13:13" ht="14" customHeight="1">
      <c r="M118" s="71"/>
    </row>
    <row r="119" spans="13:13" ht="14" customHeight="1">
      <c r="M119" s="71"/>
    </row>
    <row r="120" spans="13:13" ht="14" customHeight="1">
      <c r="M120" s="71"/>
    </row>
    <row r="121" spans="13:13" ht="14" customHeight="1">
      <c r="M121" s="71"/>
    </row>
    <row r="122" spans="13:13" ht="14" customHeight="1">
      <c r="M122" s="71"/>
    </row>
    <row r="123" spans="13:13" ht="14" customHeight="1">
      <c r="M123" s="71"/>
    </row>
    <row r="124" spans="13:13" ht="14" customHeight="1">
      <c r="M124" s="71"/>
    </row>
    <row r="125" spans="13:13" ht="14" customHeight="1">
      <c r="M125" s="71"/>
    </row>
    <row r="126" spans="13:13" ht="14" customHeight="1">
      <c r="M126" s="71"/>
    </row>
    <row r="127" spans="13:13" ht="14" customHeight="1">
      <c r="M127" s="71"/>
    </row>
    <row r="128" spans="13:13" ht="14" customHeight="1">
      <c r="M128" s="71"/>
    </row>
    <row r="129" spans="13:13" ht="14" customHeight="1">
      <c r="M129" s="71"/>
    </row>
    <row r="130" spans="13:13" ht="14" customHeight="1">
      <c r="M130" s="71"/>
    </row>
    <row r="131" spans="13:13" ht="14" customHeight="1">
      <c r="M131" s="71"/>
    </row>
    <row r="132" spans="13:13" ht="14" customHeight="1">
      <c r="M132" s="71"/>
    </row>
    <row r="133" spans="13:13" ht="14" customHeight="1">
      <c r="M133" s="71"/>
    </row>
    <row r="134" spans="13:13" ht="14" customHeight="1">
      <c r="M134" s="71"/>
    </row>
    <row r="135" spans="13:13" ht="14" customHeight="1">
      <c r="M135" s="71"/>
    </row>
    <row r="136" spans="13:13" ht="14" customHeight="1">
      <c r="M136" s="71"/>
    </row>
    <row r="137" spans="13:13" ht="14" customHeight="1">
      <c r="M137" s="71"/>
    </row>
    <row r="138" spans="13:13" ht="14" customHeight="1">
      <c r="M138" s="71"/>
    </row>
    <row r="139" spans="13:13" ht="14" customHeight="1">
      <c r="M139" s="71"/>
    </row>
    <row r="140" spans="13:13" ht="14" customHeight="1">
      <c r="M140" s="71"/>
    </row>
    <row r="141" spans="13:13" ht="14" customHeight="1">
      <c r="M141" s="71"/>
    </row>
    <row r="142" spans="13:13" ht="14" customHeight="1">
      <c r="M142" s="71"/>
    </row>
    <row r="143" spans="13:13" ht="14" customHeight="1">
      <c r="M143" s="71"/>
    </row>
    <row r="144" spans="13:13" ht="14" customHeight="1">
      <c r="M144" s="71"/>
    </row>
    <row r="145" spans="13:13" ht="14" customHeight="1">
      <c r="M145" s="71"/>
    </row>
    <row r="146" spans="13:13" ht="14" customHeight="1">
      <c r="M146" s="71"/>
    </row>
    <row r="147" spans="13:13" ht="14" customHeight="1">
      <c r="M147" s="71"/>
    </row>
    <row r="148" spans="13:13" ht="14" customHeight="1">
      <c r="M148" s="71"/>
    </row>
    <row r="149" spans="13:13" ht="14" customHeight="1">
      <c r="M149" s="71"/>
    </row>
    <row r="150" spans="13:13" ht="14" customHeight="1">
      <c r="M150" s="71"/>
    </row>
    <row r="151" spans="13:13" ht="14" customHeight="1">
      <c r="M151" s="71"/>
    </row>
    <row r="152" spans="13:13" ht="14" customHeight="1">
      <c r="M152" s="71"/>
    </row>
    <row r="153" spans="13:13" ht="14" customHeight="1">
      <c r="M153" s="71"/>
    </row>
    <row r="154" spans="13:13" ht="14" customHeight="1">
      <c r="M154" s="71"/>
    </row>
    <row r="155" spans="13:13" ht="14" customHeight="1">
      <c r="M155" s="71"/>
    </row>
    <row r="156" spans="13:13" ht="14" customHeight="1">
      <c r="M156" s="71"/>
    </row>
    <row r="157" spans="13:13" ht="14" customHeight="1">
      <c r="M157" s="71"/>
    </row>
    <row r="158" spans="13:13" ht="14" customHeight="1">
      <c r="M158" s="71"/>
    </row>
    <row r="159" spans="13:13" ht="14" customHeight="1">
      <c r="M159" s="71"/>
    </row>
    <row r="160" spans="13:13" ht="14" customHeight="1">
      <c r="M160" s="71"/>
    </row>
    <row r="161" spans="13:13" ht="14" customHeight="1">
      <c r="M161" s="71"/>
    </row>
  </sheetData>
  <mergeCells count="17">
    <mergeCell ref="J9:J12"/>
    <mergeCell ref="B3:F5"/>
    <mergeCell ref="Q3:R5"/>
    <mergeCell ref="B56:P57"/>
    <mergeCell ref="B81:H82"/>
    <mergeCell ref="O9:O12"/>
    <mergeCell ref="P9:P12"/>
    <mergeCell ref="Q9:Q12"/>
    <mergeCell ref="B48:P50"/>
    <mergeCell ref="B37:P38"/>
    <mergeCell ref="K9:K12"/>
    <mergeCell ref="L9:L12"/>
    <mergeCell ref="M9:M12"/>
    <mergeCell ref="N9:N12"/>
    <mergeCell ref="G3:I5"/>
    <mergeCell ref="B9:H10"/>
    <mergeCell ref="I9:I12"/>
  </mergeCells>
  <printOptions gridLines="1"/>
  <pageMargins left="0.2" right="0.2" top="0.4" bottom="0.25" header="0.5" footer="0.5"/>
  <pageSetup orientation="landscape" verticalDpi="0"/>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25"/>
  <sheetViews>
    <sheetView workbookViewId="0"/>
  </sheetViews>
  <sheetFormatPr baseColWidth="10" defaultColWidth="8.83203125" defaultRowHeight="14" customHeight="1" x14ac:dyDescent="0"/>
  <cols>
    <col min="1" max="1" width="2.6640625" customWidth="1"/>
    <col min="8" max="8" width="12.1640625" customWidth="1"/>
    <col min="11" max="12" width="9.1640625" customWidth="1"/>
    <col min="13" max="13" width="9.1640625" style="27" customWidth="1"/>
    <col min="14" max="15" width="9.1640625" style="71" customWidth="1"/>
    <col min="16" max="16" width="9.1640625" style="27" customWidth="1"/>
    <col min="17" max="18" width="9.1640625" customWidth="1"/>
    <col min="23" max="39" width="9.33203125" customWidth="1"/>
    <col min="42" max="42" width="2.33203125" customWidth="1"/>
  </cols>
  <sheetData>
    <row r="1" spans="2:42" ht="14" customHeight="1">
      <c r="B1" s="59" t="s">
        <v>11</v>
      </c>
      <c r="P1" s="238">
        <f>Summary!F3</f>
        <v>41674</v>
      </c>
      <c r="AP1" s="7">
        <f>ROW()</f>
        <v>1</v>
      </c>
    </row>
    <row r="2" spans="2:42" ht="14" customHeight="1" thickBot="1">
      <c r="B2" s="1"/>
      <c r="M2"/>
      <c r="N2"/>
      <c r="O2"/>
      <c r="AP2" s="7">
        <f>ROW()</f>
        <v>2</v>
      </c>
    </row>
    <row r="3" spans="2:42" ht="14" customHeight="1">
      <c r="B3" s="815" t="s">
        <v>172</v>
      </c>
      <c r="C3" s="738"/>
      <c r="D3" s="738"/>
      <c r="E3" s="738"/>
      <c r="F3" s="738"/>
      <c r="G3" s="815" t="s">
        <v>617</v>
      </c>
      <c r="H3" s="738"/>
      <c r="I3" s="738"/>
      <c r="K3" s="356" t="str">
        <f>CONCATENATE("Key Tax Inputs (copied from 'Summary', Rows ",Summary!AO67,"-",Summary!AO79,")")</f>
        <v>Key Tax Inputs (copied from 'Summary', Rows 67-79)</v>
      </c>
      <c r="L3" s="357"/>
      <c r="M3" s="357"/>
      <c r="N3" s="357"/>
      <c r="O3" s="358"/>
      <c r="Q3" s="869" t="str">
        <f>CONCATENATE("Tax is from 'Baucus' tab, Cell H",Baucus!M50,", converted from tonnes to tons.")</f>
        <v>Tax is from 'Baucus' tab, Cell H50, converted from tonnes to tons.</v>
      </c>
      <c r="R3" s="870"/>
      <c r="AP3" s="7">
        <f>ROW()</f>
        <v>3</v>
      </c>
    </row>
    <row r="4" spans="2:42" ht="14" customHeight="1">
      <c r="B4" s="738"/>
      <c r="C4" s="738"/>
      <c r="D4" s="738"/>
      <c r="E4" s="738"/>
      <c r="F4" s="738"/>
      <c r="G4" s="738"/>
      <c r="H4" s="738"/>
      <c r="I4" s="738"/>
      <c r="K4" s="359" t="s">
        <v>493</v>
      </c>
      <c r="L4" s="71"/>
      <c r="M4" s="71"/>
      <c r="O4" s="729">
        <f>Baucus!H50/Parameters!H14*Parameters!H15</f>
        <v>102.17747870429761</v>
      </c>
      <c r="Q4" s="871"/>
      <c r="R4" s="872"/>
      <c r="AP4" s="7">
        <f>ROW()</f>
        <v>4</v>
      </c>
    </row>
    <row r="5" spans="2:42" ht="14" customHeight="1">
      <c r="B5" s="738"/>
      <c r="C5" s="738"/>
      <c r="D5" s="738"/>
      <c r="E5" s="738"/>
      <c r="F5" s="738"/>
      <c r="G5" s="738"/>
      <c r="H5" s="738"/>
      <c r="I5" s="738"/>
      <c r="K5" s="359" t="s">
        <v>494</v>
      </c>
      <c r="L5" s="71"/>
      <c r="M5" s="71"/>
      <c r="O5" s="361" t="str">
        <f>IF(Summary!J69=1,"By Constant Amount","By Constant Percent")</f>
        <v>By Constant Amount</v>
      </c>
      <c r="Q5" s="873"/>
      <c r="R5" s="874"/>
      <c r="AP5" s="7">
        <f>ROW()</f>
        <v>5</v>
      </c>
    </row>
    <row r="6" spans="2:42" ht="14" customHeight="1">
      <c r="B6" s="1"/>
      <c r="I6" s="3"/>
      <c r="K6" s="359" t="s">
        <v>495</v>
      </c>
      <c r="L6" s="71"/>
      <c r="M6" s="71"/>
      <c r="N6"/>
      <c r="O6" s="360" t="str">
        <f>IF(Summary!$J$69=1,CONCATENATE("$",Summary!$J$71,""),CONCATENATE("",Summary!$J$75*100,"%"))</f>
        <v>$0</v>
      </c>
      <c r="AP6" s="7">
        <f>ROW()</f>
        <v>6</v>
      </c>
    </row>
    <row r="7" spans="2:42" ht="14" customHeight="1" thickBot="1">
      <c r="B7" s="13" t="str">
        <f>CONCATENATE("Note: This worksheet is pre-formatted to print to four pages. Print area extends to ",AI13, ".")</f>
        <v>Note: This worksheet is pre-formatted to print to four pages. Print area extends to 2033.</v>
      </c>
      <c r="H7" s="3"/>
      <c r="K7" s="362" t="s">
        <v>496</v>
      </c>
      <c r="L7" s="363"/>
      <c r="M7" s="363"/>
      <c r="N7" s="363"/>
      <c r="O7" s="364" t="str">
        <f>Summary!J79</f>
        <v>Real</v>
      </c>
      <c r="AP7" s="7">
        <f>ROW()</f>
        <v>7</v>
      </c>
    </row>
    <row r="8" spans="2:42" ht="14" customHeight="1">
      <c r="B8" s="13"/>
      <c r="H8" s="3"/>
      <c r="J8" s="53"/>
      <c r="M8"/>
      <c r="N8"/>
      <c r="O8"/>
      <c r="P8" s="281"/>
      <c r="Q8" s="52"/>
      <c r="R8" s="12"/>
      <c r="S8" s="12"/>
      <c r="T8" s="12"/>
      <c r="U8" s="12"/>
      <c r="V8" s="12"/>
      <c r="W8" s="12"/>
      <c r="X8" s="12"/>
      <c r="Y8" s="12"/>
      <c r="Z8" s="12"/>
      <c r="AA8" s="12"/>
      <c r="AB8" s="12"/>
      <c r="AC8" s="12"/>
      <c r="AD8" s="12"/>
      <c r="AE8" s="12"/>
      <c r="AF8" s="12"/>
      <c r="AG8" s="12"/>
      <c r="AH8" s="12"/>
      <c r="AI8" s="12"/>
      <c r="AJ8" s="12"/>
      <c r="AK8" s="12"/>
      <c r="AL8" s="12"/>
      <c r="AM8" s="12"/>
      <c r="AP8" s="7">
        <f>ROW()</f>
        <v>8</v>
      </c>
    </row>
    <row r="9" spans="2:42" ht="14" customHeight="1">
      <c r="B9" s="826" t="s">
        <v>612</v>
      </c>
      <c r="C9" s="768"/>
      <c r="D9" s="768"/>
      <c r="E9" s="768"/>
      <c r="F9" s="768"/>
      <c r="G9" s="768"/>
      <c r="H9" s="768"/>
      <c r="I9" s="799" t="s">
        <v>185</v>
      </c>
      <c r="J9" s="799" t="s">
        <v>185</v>
      </c>
      <c r="K9" s="799" t="s">
        <v>185</v>
      </c>
      <c r="L9" s="799" t="s">
        <v>185</v>
      </c>
      <c r="M9" s="799" t="s">
        <v>185</v>
      </c>
      <c r="N9" s="799" t="s">
        <v>185</v>
      </c>
      <c r="O9" s="799" t="s">
        <v>185</v>
      </c>
      <c r="P9" s="799" t="s">
        <v>513</v>
      </c>
      <c r="Q9" s="845" t="s">
        <v>88</v>
      </c>
      <c r="AP9" s="7">
        <f>ROW()</f>
        <v>9</v>
      </c>
    </row>
    <row r="10" spans="2:42" ht="14" customHeight="1">
      <c r="B10" s="768"/>
      <c r="C10" s="768"/>
      <c r="D10" s="768"/>
      <c r="E10" s="768"/>
      <c r="F10" s="768"/>
      <c r="G10" s="768"/>
      <c r="H10" s="768"/>
      <c r="I10" s="827"/>
      <c r="J10" s="827"/>
      <c r="K10" s="827"/>
      <c r="L10" s="827"/>
      <c r="M10" s="827"/>
      <c r="N10" s="827"/>
      <c r="O10" s="827"/>
      <c r="P10" s="827"/>
      <c r="Q10" s="846"/>
      <c r="AP10" s="7">
        <f>ROW()</f>
        <v>10</v>
      </c>
    </row>
    <row r="11" spans="2:42" ht="14" customHeight="1">
      <c r="I11" s="827"/>
      <c r="J11" s="827"/>
      <c r="K11" s="827"/>
      <c r="L11" s="827"/>
      <c r="M11" s="827"/>
      <c r="N11" s="827"/>
      <c r="O11" s="827"/>
      <c r="P11" s="827"/>
      <c r="Q11" s="846"/>
      <c r="AP11" s="7">
        <f>ROW()</f>
        <v>11</v>
      </c>
    </row>
    <row r="12" spans="2:42" ht="14" customHeight="1">
      <c r="B12" s="54" t="s">
        <v>611</v>
      </c>
      <c r="H12" s="53"/>
      <c r="I12" s="827"/>
      <c r="J12" s="827"/>
      <c r="K12" s="827"/>
      <c r="L12" s="827"/>
      <c r="M12" s="827"/>
      <c r="N12" s="827"/>
      <c r="O12" s="827"/>
      <c r="P12" s="827"/>
      <c r="Q12" s="847"/>
      <c r="AP12" s="7">
        <f>ROW()</f>
        <v>12</v>
      </c>
    </row>
    <row r="13" spans="2:42" ht="14" customHeight="1">
      <c r="B13" s="60" t="s">
        <v>610</v>
      </c>
      <c r="I13" s="132">
        <f>Summary!I116</f>
        <v>2005</v>
      </c>
      <c r="J13" s="132">
        <f>Summary!J116</f>
        <v>2006</v>
      </c>
      <c r="K13" s="132">
        <f>Summary!K116</f>
        <v>2007</v>
      </c>
      <c r="L13" s="132">
        <f>Summary!L116</f>
        <v>2008</v>
      </c>
      <c r="M13" s="132">
        <f>Summary!M116</f>
        <v>2009</v>
      </c>
      <c r="N13" s="132">
        <f>Summary!N116</f>
        <v>2010</v>
      </c>
      <c r="O13" s="132">
        <f>Summary!O116</f>
        <v>2011</v>
      </c>
      <c r="P13" s="132">
        <f>Summary!P116</f>
        <v>2012</v>
      </c>
      <c r="Q13" s="280">
        <f>Summary!Q116</f>
        <v>2015</v>
      </c>
      <c r="R13" s="12">
        <f t="shared" ref="R13:AM13" si="0">Q13+1</f>
        <v>2016</v>
      </c>
      <c r="S13" s="12">
        <f t="shared" si="0"/>
        <v>2017</v>
      </c>
      <c r="T13" s="12">
        <f t="shared" si="0"/>
        <v>2018</v>
      </c>
      <c r="U13" s="12">
        <f t="shared" si="0"/>
        <v>2019</v>
      </c>
      <c r="V13" s="12">
        <f t="shared" si="0"/>
        <v>2020</v>
      </c>
      <c r="W13" s="12">
        <f t="shared" si="0"/>
        <v>2021</v>
      </c>
      <c r="X13" s="12">
        <f t="shared" si="0"/>
        <v>2022</v>
      </c>
      <c r="Y13" s="12">
        <f t="shared" si="0"/>
        <v>2023</v>
      </c>
      <c r="Z13" s="12">
        <f t="shared" si="0"/>
        <v>2024</v>
      </c>
      <c r="AA13" s="12">
        <f t="shared" si="0"/>
        <v>2025</v>
      </c>
      <c r="AB13" s="12">
        <f t="shared" si="0"/>
        <v>2026</v>
      </c>
      <c r="AC13" s="12">
        <f t="shared" si="0"/>
        <v>2027</v>
      </c>
      <c r="AD13" s="12">
        <f t="shared" si="0"/>
        <v>2028</v>
      </c>
      <c r="AE13" s="12">
        <f t="shared" si="0"/>
        <v>2029</v>
      </c>
      <c r="AF13" s="12">
        <f t="shared" si="0"/>
        <v>2030</v>
      </c>
      <c r="AG13" s="12">
        <f t="shared" si="0"/>
        <v>2031</v>
      </c>
      <c r="AH13" s="12">
        <f t="shared" si="0"/>
        <v>2032</v>
      </c>
      <c r="AI13" s="12">
        <f t="shared" si="0"/>
        <v>2033</v>
      </c>
      <c r="AJ13" s="12">
        <f t="shared" si="0"/>
        <v>2034</v>
      </c>
      <c r="AK13" s="12">
        <f t="shared" si="0"/>
        <v>2035</v>
      </c>
      <c r="AL13" s="12">
        <f t="shared" si="0"/>
        <v>2036</v>
      </c>
      <c r="AM13" s="12">
        <f t="shared" si="0"/>
        <v>2037</v>
      </c>
      <c r="AP13" s="7">
        <f>ROW()</f>
        <v>13</v>
      </c>
    </row>
    <row r="14" spans="2:42" ht="14" customHeight="1">
      <c r="H14" s="53"/>
      <c r="I14" s="53"/>
      <c r="J14" s="53"/>
      <c r="K14" s="12"/>
      <c r="L14" s="162"/>
      <c r="M14" s="162"/>
      <c r="N14" s="162"/>
      <c r="O14" s="162"/>
      <c r="P14" s="281"/>
      <c r="Q14" s="52"/>
      <c r="R14" s="12"/>
      <c r="S14" s="12"/>
      <c r="T14" s="12"/>
      <c r="U14" s="12"/>
      <c r="V14" s="12"/>
      <c r="W14" s="12"/>
      <c r="X14" s="12"/>
      <c r="Y14" s="12"/>
      <c r="Z14" s="12"/>
      <c r="AA14" s="12"/>
      <c r="AB14" s="12"/>
      <c r="AC14" s="12"/>
      <c r="AD14" s="12"/>
      <c r="AE14" s="12"/>
      <c r="AF14" s="12"/>
      <c r="AG14" s="12"/>
      <c r="AH14" s="12"/>
      <c r="AI14" s="12"/>
      <c r="AJ14" s="12"/>
      <c r="AK14" s="12"/>
      <c r="AL14" s="12"/>
      <c r="AM14" s="12"/>
      <c r="AP14" s="7">
        <f>ROW()</f>
        <v>14</v>
      </c>
    </row>
    <row r="15" spans="2:42" s="352" customFormat="1" ht="14" customHeight="1">
      <c r="B15" s="352" t="s">
        <v>221</v>
      </c>
      <c r="M15" s="352">
        <f>Summary!L94</f>
        <v>0</v>
      </c>
      <c r="N15" s="352">
        <f>Summary!M94</f>
        <v>0</v>
      </c>
      <c r="O15" s="352">
        <f>Summary!O94</f>
        <v>0</v>
      </c>
      <c r="P15" s="372">
        <f>Summary!P94</f>
        <v>0</v>
      </c>
      <c r="Q15" s="353">
        <f>Summary!Q94</f>
        <v>1</v>
      </c>
      <c r="R15" s="352">
        <f>Summary!R94</f>
        <v>2</v>
      </c>
      <c r="S15" s="352">
        <f>Summary!S94</f>
        <v>3</v>
      </c>
      <c r="T15" s="352">
        <f>Summary!T94</f>
        <v>4</v>
      </c>
      <c r="U15" s="352">
        <f>Summary!U94</f>
        <v>5</v>
      </c>
      <c r="V15" s="352">
        <f>Summary!V94</f>
        <v>6</v>
      </c>
      <c r="W15" s="352">
        <f>Summary!W94</f>
        <v>7</v>
      </c>
      <c r="X15" s="352">
        <f>Summary!X94</f>
        <v>8</v>
      </c>
      <c r="Y15" s="352">
        <f>Summary!Y94</f>
        <v>9</v>
      </c>
      <c r="Z15" s="352">
        <f>Summary!Z94</f>
        <v>10</v>
      </c>
      <c r="AA15" s="352">
        <f>Summary!AA94</f>
        <v>11</v>
      </c>
      <c r="AB15" s="352">
        <f>Summary!AB94</f>
        <v>12</v>
      </c>
      <c r="AC15" s="352">
        <f>Summary!AC94</f>
        <v>13</v>
      </c>
      <c r="AD15" s="352">
        <f>Summary!AD94</f>
        <v>14</v>
      </c>
      <c r="AE15" s="352">
        <f>Summary!AE94</f>
        <v>15</v>
      </c>
      <c r="AF15" s="352">
        <f>Summary!AF94</f>
        <v>16</v>
      </c>
      <c r="AG15" s="352">
        <f>Summary!AG94</f>
        <v>17</v>
      </c>
      <c r="AH15" s="352">
        <f>Summary!AH94</f>
        <v>18</v>
      </c>
      <c r="AI15" s="352">
        <f>Summary!AI94</f>
        <v>19</v>
      </c>
      <c r="AJ15" s="352">
        <f>Summary!AJ94</f>
        <v>20</v>
      </c>
      <c r="AK15" s="352">
        <f>Summary!AK94</f>
        <v>21</v>
      </c>
      <c r="AL15" s="352">
        <f>Summary!AL94</f>
        <v>22</v>
      </c>
      <c r="AM15" s="352">
        <f>Summary!AM94</f>
        <v>23</v>
      </c>
      <c r="AP15" s="355">
        <f>ROW()</f>
        <v>15</v>
      </c>
    </row>
    <row r="16" spans="2:42" ht="14" customHeight="1">
      <c r="B16" s="352" t="str">
        <f>CONCATENATE("Tax in year shown, per ton of CO2 (taken directly from 'Summary' tab, Row ",Summary!AO97, ")")</f>
        <v>Tax in year shown, per ton of CO2 (taken directly from 'Summary' tab, Row 97)</v>
      </c>
      <c r="H16" s="2"/>
      <c r="I16" s="2"/>
      <c r="J16" s="2"/>
      <c r="M16" s="469">
        <f t="shared" ref="M16:O17" si="1">N16</f>
        <v>0</v>
      </c>
      <c r="N16" s="469">
        <f t="shared" si="1"/>
        <v>0</v>
      </c>
      <c r="O16" s="469">
        <f t="shared" si="1"/>
        <v>0</v>
      </c>
      <c r="P16" s="470">
        <f>Summary!P97</f>
        <v>0</v>
      </c>
      <c r="Q16" s="469">
        <f>Summary!Q97*Baucus!$H$50/Baucus!$E$50</f>
        <v>102.17747870429758</v>
      </c>
      <c r="R16" s="469">
        <f>Summary!R97*Baucus!$H$50/Baucus!$E$50</f>
        <v>103.84735595940074</v>
      </c>
      <c r="S16" s="469">
        <f>Summary!S97*Baucus!$H$50/Baucus!$E$50</f>
        <v>105.54452386683229</v>
      </c>
      <c r="T16" s="469">
        <f>Summary!T97*Baucus!$H$50/Baucus!$E$50</f>
        <v>107.26942843524479</v>
      </c>
      <c r="U16" s="469">
        <f>Summary!U97*Baucus!$H$50/Baucus!$E$50</f>
        <v>109.02252296236973</v>
      </c>
      <c r="V16" s="469">
        <f>Summary!V97*Baucus!$H$50/Baucus!$E$50</f>
        <v>110.80426815414226</v>
      </c>
      <c r="W16" s="469">
        <f>Summary!W97*Baucus!$H$50/Baucus!$E$50</f>
        <v>112.61513224577274</v>
      </c>
      <c r="X16" s="469">
        <f>Summary!X97*Baucus!$H$50/Baucus!$E$50</f>
        <v>114.45559112479715</v>
      </c>
      <c r="Y16" s="469">
        <f>Summary!Y97*Baucus!$H$50/Baucus!$E$50</f>
        <v>116.32612845613806</v>
      </c>
      <c r="Z16" s="469">
        <f>Summary!Z97*Baucus!$H$50/Baucus!$E$50</f>
        <v>118.22723580921023</v>
      </c>
      <c r="AA16" s="469">
        <f>Summary!AA97*Baucus!$H$50/Baucus!$E$50</f>
        <v>120.15941278710243</v>
      </c>
      <c r="AB16" s="469">
        <f>Summary!AB97*Baucus!$H$50/Baucus!$E$50</f>
        <v>122.12316715787156</v>
      </c>
      <c r="AC16" s="469">
        <f>Summary!AC97*Baucus!$H$50/Baucus!$E$50</f>
        <v>124.11901498798159</v>
      </c>
      <c r="AD16" s="469">
        <f>Summary!AD97*Baucus!$H$50/Baucus!$E$50</f>
        <v>126.14748077792403</v>
      </c>
      <c r="AE16" s="469">
        <f>Summary!AE97*Baucus!$H$50/Baucus!$E$50</f>
        <v>128.20909760005409</v>
      </c>
      <c r="AF16" s="469">
        <f>Summary!AF97*Baucus!$H$50/Baucus!$E$50</f>
        <v>130.30440723868023</v>
      </c>
      <c r="AG16" s="469">
        <f>Summary!AG97*Baucus!$H$50/Baucus!$E$50</f>
        <v>132.4339603324425</v>
      </c>
      <c r="AH16" s="469">
        <f>Summary!AH97*Baucus!$H$50/Baucus!$E$50</f>
        <v>134.59831651901843</v>
      </c>
      <c r="AI16" s="469">
        <f>Summary!AI97*Baucus!$H$50/Baucus!$E$50</f>
        <v>136.7980445821932</v>
      </c>
      <c r="AJ16" s="469">
        <f>Summary!AJ97*Baucus!$H$50/Baucus!$E$50</f>
        <v>139.03372260133366</v>
      </c>
      <c r="AK16" s="469">
        <f>Summary!AK97*Baucus!$H$50/Baucus!$E$50</f>
        <v>141.30593810330535</v>
      </c>
      <c r="AL16" s="469">
        <f>Summary!AL97*Baucus!$H$50/Baucus!$E$50</f>
        <v>143.61528821687196</v>
      </c>
      <c r="AM16" s="469">
        <f>Summary!AM97*Baucus!$H$50/Baucus!$E$50</f>
        <v>145.96237982961844</v>
      </c>
      <c r="AN16" s="469"/>
      <c r="AO16" s="71"/>
      <c r="AP16" s="6">
        <f>ROW()</f>
        <v>16</v>
      </c>
    </row>
    <row r="17" spans="2:42" s="32" customFormat="1" ht="14" customHeight="1">
      <c r="B17" s="352" t="s">
        <v>613</v>
      </c>
      <c r="H17" s="18"/>
      <c r="I17" s="18"/>
      <c r="J17" s="18"/>
      <c r="M17" s="469">
        <f t="shared" si="1"/>
        <v>0</v>
      </c>
      <c r="N17" s="469">
        <f t="shared" si="1"/>
        <v>0</v>
      </c>
      <c r="O17" s="469">
        <f t="shared" si="1"/>
        <v>0</v>
      </c>
      <c r="P17" s="470">
        <f>P16*Parameters!$H$14/2000</f>
        <v>0</v>
      </c>
      <c r="Q17" s="469">
        <f>Q16*Parameters!$H$14/2000</f>
        <v>112.65067027148808</v>
      </c>
      <c r="R17" s="469">
        <f>R16*Parameters!$H$14/2000</f>
        <v>114.49170994523932</v>
      </c>
      <c r="S17" s="469">
        <f>S16*Parameters!$H$14/2000</f>
        <v>116.36283756318261</v>
      </c>
      <c r="T17" s="469">
        <f>T16*Parameters!$H$14/2000</f>
        <v>118.26454484985739</v>
      </c>
      <c r="U17" s="469">
        <f>U16*Parameters!$H$14/2000</f>
        <v>120.19733156601264</v>
      </c>
      <c r="V17" s="469">
        <f>V16*Parameters!$H$14/2000</f>
        <v>122.16170563994186</v>
      </c>
      <c r="W17" s="469">
        <f>W16*Parameters!$H$14/2000</f>
        <v>124.15818330096445</v>
      </c>
      <c r="X17" s="469">
        <f>X16*Parameters!$H$14/2000</f>
        <v>126.18728921508887</v>
      </c>
      <c r="Y17" s="469">
        <f>Y16*Parameters!$H$14/2000</f>
        <v>128.24955662289221</v>
      </c>
      <c r="Z17" s="469">
        <f>Z16*Parameters!$H$14/2000</f>
        <v>130.34552747965429</v>
      </c>
      <c r="AA17" s="469">
        <f>AA16*Parameters!$H$14/2000</f>
        <v>132.47575259778043</v>
      </c>
      <c r="AB17" s="469">
        <f>AB16*Parameters!$H$14/2000</f>
        <v>134.6407917915534</v>
      </c>
      <c r="AC17" s="469">
        <f>AC16*Parameters!$H$14/2000</f>
        <v>136.84121402424969</v>
      </c>
      <c r="AD17" s="469">
        <f>AD16*Parameters!$H$14/2000</f>
        <v>139.07759755766125</v>
      </c>
      <c r="AE17" s="469">
        <f>AE16*Parameters!$H$14/2000</f>
        <v>141.35053010405963</v>
      </c>
      <c r="AF17" s="469">
        <f>AF16*Parameters!$H$14/2000</f>
        <v>143.66060898064495</v>
      </c>
      <c r="AG17" s="469">
        <f>AG16*Parameters!$H$14/2000</f>
        <v>146.00844126651785</v>
      </c>
      <c r="AH17" s="469">
        <f>AH16*Parameters!$H$14/2000</f>
        <v>148.39464396221783</v>
      </c>
      <c r="AI17" s="469">
        <f>AI16*Parameters!$H$14/2000</f>
        <v>150.81984415186798</v>
      </c>
      <c r="AJ17" s="469">
        <f>AJ16*Parameters!$H$14/2000</f>
        <v>153.28467916797038</v>
      </c>
      <c r="AK17" s="469">
        <f>AK16*Parameters!$H$14/2000</f>
        <v>155.78979675889414</v>
      </c>
      <c r="AL17" s="469">
        <f>AL16*Parameters!$H$14/2000</f>
        <v>158.33585525910135</v>
      </c>
      <c r="AM17" s="469">
        <f>AM16*Parameters!$H$14/2000</f>
        <v>160.92352376215433</v>
      </c>
      <c r="AP17" s="88">
        <f>ROW()</f>
        <v>17</v>
      </c>
    </row>
    <row r="18" spans="2:42" s="32" customFormat="1" ht="14" customHeight="1">
      <c r="B18" s="352" t="s">
        <v>518</v>
      </c>
      <c r="H18" s="18"/>
      <c r="I18" s="18"/>
      <c r="J18" s="18"/>
      <c r="M18" s="523">
        <f>M16*M65*(1/Parameters!$H$15)</f>
        <v>0</v>
      </c>
      <c r="N18" s="523">
        <f>N16*N65*(1/Parameters!$H$15)</f>
        <v>0</v>
      </c>
      <c r="O18" s="523">
        <f>O16*O65*(1/Parameters!$H$15)</f>
        <v>0</v>
      </c>
      <c r="P18" s="470">
        <f>P16*P65*(1/Parameters!$H$15)</f>
        <v>0</v>
      </c>
      <c r="Q18" s="523">
        <f>Q16*Q65*(1/Parameters!$H$15)</f>
        <v>1.0669756316614079</v>
      </c>
      <c r="R18" s="523">
        <f>R16*R65*(1/Parameters!$H$15)</f>
        <v>1.0844257343875527</v>
      </c>
      <c r="S18" s="469">
        <f>S16*S65*(1/Parameters!$H$15)</f>
        <v>1.1021612142337105</v>
      </c>
      <c r="T18" s="469">
        <f>T16*T65*(1/Parameters!$H$15)</f>
        <v>1.1201867380040096</v>
      </c>
      <c r="U18" s="469">
        <f>U16*U65*(1/Parameters!$H$15)</f>
        <v>1.1385070488159645</v>
      </c>
      <c r="V18" s="469">
        <f>V16*V65*(1/Parameters!$H$15)</f>
        <v>1.1571269673483309</v>
      </c>
      <c r="W18" s="469">
        <f>W16*W65*(1/Parameters!$H$15)</f>
        <v>1.1760513931093646</v>
      </c>
      <c r="X18" s="469">
        <f>X16*X65*(1/Parameters!$H$15)</f>
        <v>1.1952853057258173</v>
      </c>
      <c r="Y18" s="469">
        <f>Y16*Y65*(1/Parameters!$H$15)</f>
        <v>1.2148337662530053</v>
      </c>
      <c r="Z18" s="469">
        <f>Z16*Z65*(1/Parameters!$H$15)</f>
        <v>1.2347019185063108</v>
      </c>
      <c r="AA18" s="469">
        <f>AA16*AA65*(1/Parameters!$H$15)</f>
        <v>1.2548949904144375</v>
      </c>
      <c r="AB18" s="469">
        <f>AB16*AB65*(1/Parameters!$H$15)</f>
        <v>1.2754182953948086</v>
      </c>
      <c r="AC18" s="469">
        <f>AC16*AC65*(1/Parameters!$H$15)</f>
        <v>1.2962772337514441</v>
      </c>
      <c r="AD18" s="469">
        <f>AD16*AD65*(1/Parameters!$H$15)</f>
        <v>1.3174772940957022</v>
      </c>
      <c r="AE18" s="469">
        <f>AE16*AE65*(1/Parameters!$H$15)</f>
        <v>1.3390240547902434</v>
      </c>
      <c r="AF18" s="469">
        <f>AF16*AF65*(1/Parameters!$H$15)</f>
        <v>1.3609231854166122</v>
      </c>
      <c r="AG18" s="469">
        <f>AG16*AG65*(1/Parameters!$H$15)</f>
        <v>1.38318044826681</v>
      </c>
      <c r="AH18" s="469">
        <f>AH16*AH65*(1/Parameters!$H$15)</f>
        <v>1.4058016998592613</v>
      </c>
      <c r="AI18" s="469">
        <f>AI16*AI65*(1/Parameters!$H$15)</f>
        <v>1.4287928924795632</v>
      </c>
      <c r="AJ18" s="469">
        <f>AJ16*AJ65*(1/Parameters!$H$15)</f>
        <v>1.4521600757464266</v>
      </c>
      <c r="AK18" s="469">
        <f>AK16*AK65*(1/Parameters!$H$15)</f>
        <v>1.4759093982032307</v>
      </c>
      <c r="AL18" s="469">
        <f>AL16*AL65*(1/Parameters!$H$15)</f>
        <v>1.5000471089355898</v>
      </c>
      <c r="AM18" s="469">
        <f>AM16*AM65*(1/Parameters!$H$15)</f>
        <v>1.5245795592153775</v>
      </c>
      <c r="AP18" s="7">
        <f>ROW()</f>
        <v>18</v>
      </c>
    </row>
    <row r="19" spans="2:42" ht="14" customHeight="1">
      <c r="B19" s="352" t="s">
        <v>477</v>
      </c>
      <c r="K19" s="345">
        <f>Summary!J83*IF(Summary!E89="YES",1,0)/100</f>
        <v>0</v>
      </c>
      <c r="L19" s="71"/>
      <c r="M19" s="469">
        <v>0</v>
      </c>
      <c r="N19" s="469">
        <v>0</v>
      </c>
      <c r="O19" s="469">
        <v>0</v>
      </c>
      <c r="P19" s="470">
        <v>0</v>
      </c>
      <c r="Q19" s="469">
        <f>K19</f>
        <v>0</v>
      </c>
      <c r="R19" s="469">
        <f>$Q$19*(1+IF(Summary!$J$69=2,Summary!$J$75,IF(Summary!$J$79="Real",AEO!$N$18-1,0)))^(R13-$Q13)</f>
        <v>0</v>
      </c>
      <c r="S19" s="469">
        <f>$Q$19*(1+IF(Summary!$J$69=2,Summary!$J$75,IF(Summary!$J$79="Real",AEO!$N$18-1,0)))^(S13-$Q13)</f>
        <v>0</v>
      </c>
      <c r="T19" s="469">
        <f>$Q$19*(1+IF(Summary!$J$69=2,Summary!$J$75,IF(Summary!$J$79="Real",AEO!$N$18-1,0)))^(T13-$Q13)</f>
        <v>0</v>
      </c>
      <c r="U19" s="469">
        <f>$Q$19*(1+IF(Summary!$J$69=2,Summary!$J$75,IF(Summary!$J$79="Real",AEO!$N$18-1,0)))^(U13-$Q13)</f>
        <v>0</v>
      </c>
      <c r="V19" s="469">
        <f>$Q$19*(1+IF(Summary!$J$69=2,Summary!$J$75,IF(Summary!$J$79="Real",AEO!$N$18-1,0)))^(V13-$Q13)</f>
        <v>0</v>
      </c>
      <c r="W19" s="469">
        <f>$Q$19*(1+IF(Summary!$J$69=2,Summary!$J$75,IF(Summary!$J$79="Real",AEO!$N$18-1,0)))^(W13-$Q13)</f>
        <v>0</v>
      </c>
      <c r="X19" s="469">
        <f>$Q$19*(1+IF(Summary!$J$69=2,Summary!$J$75,IF(Summary!$J$79="Real",AEO!$N$18-1,0)))^(X13-$Q13)</f>
        <v>0</v>
      </c>
      <c r="Y19" s="469">
        <f>$Q$19*(1+IF(Summary!$J$69=2,Summary!$J$75,IF(Summary!$J$79="Real",AEO!$N$18-1,0)))^(Y13-$Q13)</f>
        <v>0</v>
      </c>
      <c r="Z19" s="469">
        <f>$Q$19*(1+IF(Summary!$J$69=2,Summary!$J$75,IF(Summary!$J$79="Real",AEO!$N$18-1,0)))^(Z13-$Q13)</f>
        <v>0</v>
      </c>
      <c r="AA19" s="469">
        <f>$Q$19*(1+IF(Summary!$J$69=2,Summary!$J$75,IF(Summary!$J$79="Real",AEO!$N$18-1,0)))^(AA13-$Q13)</f>
        <v>0</v>
      </c>
      <c r="AB19" s="469">
        <f>$Q$19*(1+IF(Summary!$J$69=2,Summary!$J$75,IF(Summary!$J$79="Real",AEO!$N$18-1,0)))^(AB13-$Q13)</f>
        <v>0</v>
      </c>
      <c r="AC19" s="469">
        <f>$Q$19*(1+IF(Summary!$J$69=2,Summary!$J$75,IF(Summary!$J$79="Real",AEO!$N$18-1,0)))^(AC13-$Q13)</f>
        <v>0</v>
      </c>
      <c r="AD19" s="469">
        <f>$Q$19*(1+IF(Summary!$J$69=2,Summary!$J$75,IF(Summary!$J$79="Real",AEO!$N$18-1,0)))^(AD13-$Q13)</f>
        <v>0</v>
      </c>
      <c r="AE19" s="469">
        <f>$Q$19*(1+IF(Summary!$J$69=2,Summary!$J$75,IF(Summary!$J$79="Real",AEO!$N$18-1,0)))^(AE13-$Q13)</f>
        <v>0</v>
      </c>
      <c r="AF19" s="469">
        <f>$Q$19*(1+IF(Summary!$J$69=2,Summary!$J$75,IF(Summary!$J$79="Real",AEO!$N$18-1,0)))^(AF13-$Q13)</f>
        <v>0</v>
      </c>
      <c r="AG19" s="469">
        <f>$Q$19*(1+IF(Summary!$J$69=2,Summary!$J$75,IF(Summary!$J$79="Real",AEO!$N$18-1,0)))^(AG13-$Q13)</f>
        <v>0</v>
      </c>
      <c r="AH19" s="469">
        <f>$Q$19*(1+IF(Summary!$J$69=2,Summary!$J$75,IF(Summary!$J$79="Real",AEO!$N$18-1,0)))^(AH13-$Q13)</f>
        <v>0</v>
      </c>
      <c r="AI19" s="469">
        <f>$Q$19*(1+IF(Summary!$J$69=2,Summary!$J$75,IF(Summary!$J$79="Real",AEO!$N$18-1,0)))^(AI13-$Q13)</f>
        <v>0</v>
      </c>
      <c r="AJ19" s="469">
        <f>$Q$19*(1+IF(Summary!$J$69=2,Summary!$J$75,IF(Summary!$J$79="Real",AEO!$N$18-1,0)))^(AJ13-$Q13)</f>
        <v>0</v>
      </c>
      <c r="AK19" s="469">
        <f>$Q$19*(1+IF(Summary!$J$69=2,Summary!$J$75,IF(Summary!$J$79="Real",AEO!$N$18-1,0)))^(AK13-$Q13)</f>
        <v>0</v>
      </c>
      <c r="AL19" s="469">
        <f>$Q$19*(1+IF(Summary!$J$69=2,Summary!$J$75,IF(Summary!$J$79="Real",AEO!$N$18-1,0)))^(AL13-$Q13)</f>
        <v>0</v>
      </c>
      <c r="AM19" s="469">
        <f>$Q$19*(1+IF(Summary!$J$69=2,Summary!$J$75,IF(Summary!$J$79="Real",AEO!$N$18-1,0)))^(AM13-$Q13)</f>
        <v>0</v>
      </c>
      <c r="AN19" s="328"/>
      <c r="AO19" s="71"/>
      <c r="AP19" s="7">
        <f>ROW()</f>
        <v>19</v>
      </c>
    </row>
    <row r="20" spans="2:42" ht="14" customHeight="1">
      <c r="B20" s="352" t="s">
        <v>478</v>
      </c>
      <c r="K20" s="330"/>
      <c r="L20" s="331"/>
      <c r="M20" s="469">
        <f>M19*Parameters!$H$15/M65</f>
        <v>0</v>
      </c>
      <c r="N20" s="469">
        <f>N19*Parameters!$H$15/N65</f>
        <v>0</v>
      </c>
      <c r="O20" s="469">
        <f>O19*Parameters!$H$15/O65</f>
        <v>0</v>
      </c>
      <c r="P20" s="470">
        <f>P19*Parameters!$H$15/P65</f>
        <v>0</v>
      </c>
      <c r="Q20" s="469">
        <f>Q19*Parameters!$H$15/Q65</f>
        <v>0</v>
      </c>
      <c r="R20" s="469">
        <f>R19*Parameters!$H$15/R65</f>
        <v>0</v>
      </c>
      <c r="S20" s="469">
        <f>S19*Parameters!$H$15/S65</f>
        <v>0</v>
      </c>
      <c r="T20" s="469">
        <f>T19*Parameters!$H$15/T65</f>
        <v>0</v>
      </c>
      <c r="U20" s="469">
        <f>U19*Parameters!$H$15/U65</f>
        <v>0</v>
      </c>
      <c r="V20" s="469">
        <f>V19*Parameters!$H$15/V65</f>
        <v>0</v>
      </c>
      <c r="W20" s="469">
        <f>W19*Parameters!$H$15/W65</f>
        <v>0</v>
      </c>
      <c r="X20" s="469">
        <f>X19*Parameters!$H$15/X65</f>
        <v>0</v>
      </c>
      <c r="Y20" s="469">
        <f>Y19*Parameters!$H$15/Y65</f>
        <v>0</v>
      </c>
      <c r="Z20" s="469">
        <f>Z19*Parameters!$H$15/Z65</f>
        <v>0</v>
      </c>
      <c r="AA20" s="469">
        <f>AA19*Parameters!$H$15/AA65</f>
        <v>0</v>
      </c>
      <c r="AB20" s="469">
        <f>AB19*Parameters!$H$15/AB65</f>
        <v>0</v>
      </c>
      <c r="AC20" s="469">
        <f>AC19*Parameters!$H$15/AC65</f>
        <v>0</v>
      </c>
      <c r="AD20" s="469">
        <f>AD19*Parameters!$H$15/AD65</f>
        <v>0</v>
      </c>
      <c r="AE20" s="469">
        <f>AE19*Parameters!$H$15/AE65</f>
        <v>0</v>
      </c>
      <c r="AF20" s="469">
        <f>AF19*Parameters!$H$15/AF65</f>
        <v>0</v>
      </c>
      <c r="AG20" s="469">
        <f>AG19*Parameters!$H$15/AG65</f>
        <v>0</v>
      </c>
      <c r="AH20" s="469">
        <f>AH19*Parameters!$H$15/AH65</f>
        <v>0</v>
      </c>
      <c r="AI20" s="469">
        <f>AI19*Parameters!$H$15/AI65</f>
        <v>0</v>
      </c>
      <c r="AJ20" s="469">
        <f>AJ19*Parameters!$H$15/AJ65</f>
        <v>0</v>
      </c>
      <c r="AK20" s="469">
        <f>AK19*Parameters!$H$15/AK65</f>
        <v>0</v>
      </c>
      <c r="AL20" s="469">
        <f>AL19*Parameters!$H$15/AL65</f>
        <v>0</v>
      </c>
      <c r="AM20" s="469">
        <f>AM19*Parameters!$H$15/AM65</f>
        <v>0</v>
      </c>
      <c r="AN20" s="328"/>
      <c r="AO20" s="71"/>
      <c r="AP20" s="7">
        <f>ROW()</f>
        <v>20</v>
      </c>
    </row>
    <row r="21" spans="2:42" ht="14" customHeight="1">
      <c r="B21" s="352" t="s">
        <v>519</v>
      </c>
      <c r="J21" s="330"/>
      <c r="K21" s="331"/>
      <c r="L21" s="71"/>
      <c r="M21" s="469">
        <f t="shared" ref="M21:AM21" si="2">M18+M19</f>
        <v>0</v>
      </c>
      <c r="N21" s="469">
        <f t="shared" si="2"/>
        <v>0</v>
      </c>
      <c r="O21" s="469">
        <f t="shared" si="2"/>
        <v>0</v>
      </c>
      <c r="P21" s="470">
        <f t="shared" si="2"/>
        <v>0</v>
      </c>
      <c r="Q21" s="469">
        <f t="shared" si="2"/>
        <v>1.0669756316614079</v>
      </c>
      <c r="R21" s="469">
        <f t="shared" si="2"/>
        <v>1.0844257343875527</v>
      </c>
      <c r="S21" s="469">
        <f t="shared" si="2"/>
        <v>1.1021612142337105</v>
      </c>
      <c r="T21" s="469">
        <f t="shared" si="2"/>
        <v>1.1201867380040096</v>
      </c>
      <c r="U21" s="469">
        <f t="shared" si="2"/>
        <v>1.1385070488159645</v>
      </c>
      <c r="V21" s="469">
        <f t="shared" si="2"/>
        <v>1.1571269673483309</v>
      </c>
      <c r="W21" s="469">
        <f t="shared" si="2"/>
        <v>1.1760513931093646</v>
      </c>
      <c r="X21" s="469">
        <f t="shared" si="2"/>
        <v>1.1952853057258173</v>
      </c>
      <c r="Y21" s="469">
        <f t="shared" si="2"/>
        <v>1.2148337662530053</v>
      </c>
      <c r="Z21" s="469">
        <f t="shared" si="2"/>
        <v>1.2347019185063108</v>
      </c>
      <c r="AA21" s="469">
        <f t="shared" si="2"/>
        <v>1.2548949904144375</v>
      </c>
      <c r="AB21" s="469">
        <f t="shared" si="2"/>
        <v>1.2754182953948086</v>
      </c>
      <c r="AC21" s="469">
        <f t="shared" si="2"/>
        <v>1.2962772337514441</v>
      </c>
      <c r="AD21" s="469">
        <f t="shared" si="2"/>
        <v>1.3174772940957022</v>
      </c>
      <c r="AE21" s="469">
        <f t="shared" si="2"/>
        <v>1.3390240547902434</v>
      </c>
      <c r="AF21" s="469">
        <f t="shared" si="2"/>
        <v>1.3609231854166122</v>
      </c>
      <c r="AG21" s="469">
        <f t="shared" si="2"/>
        <v>1.38318044826681</v>
      </c>
      <c r="AH21" s="469">
        <f t="shared" si="2"/>
        <v>1.4058016998592613</v>
      </c>
      <c r="AI21" s="469">
        <f t="shared" si="2"/>
        <v>1.4287928924795632</v>
      </c>
      <c r="AJ21" s="469">
        <f t="shared" si="2"/>
        <v>1.4521600757464266</v>
      </c>
      <c r="AK21" s="469">
        <f t="shared" si="2"/>
        <v>1.4759093982032307</v>
      </c>
      <c r="AL21" s="469">
        <f t="shared" si="2"/>
        <v>1.5000471089355898</v>
      </c>
      <c r="AM21" s="469">
        <f t="shared" si="2"/>
        <v>1.5245795592153775</v>
      </c>
      <c r="AN21" s="328"/>
      <c r="AO21" s="71"/>
      <c r="AP21" s="7">
        <f>ROW()</f>
        <v>21</v>
      </c>
    </row>
    <row r="22" spans="2:42" ht="14" customHeight="1">
      <c r="B22" s="352" t="s">
        <v>476</v>
      </c>
      <c r="L22" s="71"/>
      <c r="M22" s="469">
        <f t="shared" ref="M22:AM22" si="3">M20+M16</f>
        <v>0</v>
      </c>
      <c r="N22" s="469">
        <f t="shared" si="3"/>
        <v>0</v>
      </c>
      <c r="O22" s="469">
        <f t="shared" si="3"/>
        <v>0</v>
      </c>
      <c r="P22" s="470">
        <f t="shared" si="3"/>
        <v>0</v>
      </c>
      <c r="Q22" s="469">
        <f t="shared" si="3"/>
        <v>102.17747870429758</v>
      </c>
      <c r="R22" s="469">
        <f t="shared" si="3"/>
        <v>103.84735595940074</v>
      </c>
      <c r="S22" s="469">
        <f t="shared" si="3"/>
        <v>105.54452386683229</v>
      </c>
      <c r="T22" s="469">
        <f t="shared" si="3"/>
        <v>107.26942843524479</v>
      </c>
      <c r="U22" s="469">
        <f t="shared" si="3"/>
        <v>109.02252296236973</v>
      </c>
      <c r="V22" s="469">
        <f t="shared" si="3"/>
        <v>110.80426815414226</v>
      </c>
      <c r="W22" s="469">
        <f t="shared" si="3"/>
        <v>112.61513224577274</v>
      </c>
      <c r="X22" s="469">
        <f t="shared" si="3"/>
        <v>114.45559112479715</v>
      </c>
      <c r="Y22" s="469">
        <f t="shared" si="3"/>
        <v>116.32612845613806</v>
      </c>
      <c r="Z22" s="469">
        <f t="shared" si="3"/>
        <v>118.22723580921023</v>
      </c>
      <c r="AA22" s="469">
        <f t="shared" si="3"/>
        <v>120.15941278710243</v>
      </c>
      <c r="AB22" s="469">
        <f t="shared" si="3"/>
        <v>122.12316715787156</v>
      </c>
      <c r="AC22" s="469">
        <f t="shared" si="3"/>
        <v>124.11901498798159</v>
      </c>
      <c r="AD22" s="469">
        <f t="shared" si="3"/>
        <v>126.14748077792403</v>
      </c>
      <c r="AE22" s="469">
        <f t="shared" si="3"/>
        <v>128.20909760005409</v>
      </c>
      <c r="AF22" s="469">
        <f t="shared" si="3"/>
        <v>130.30440723868023</v>
      </c>
      <c r="AG22" s="469">
        <f t="shared" si="3"/>
        <v>132.4339603324425</v>
      </c>
      <c r="AH22" s="469">
        <f t="shared" si="3"/>
        <v>134.59831651901843</v>
      </c>
      <c r="AI22" s="469">
        <f t="shared" si="3"/>
        <v>136.7980445821932</v>
      </c>
      <c r="AJ22" s="469">
        <f t="shared" si="3"/>
        <v>139.03372260133366</v>
      </c>
      <c r="AK22" s="469">
        <f t="shared" si="3"/>
        <v>141.30593810330535</v>
      </c>
      <c r="AL22" s="469">
        <f t="shared" si="3"/>
        <v>143.61528821687196</v>
      </c>
      <c r="AM22" s="469">
        <f t="shared" si="3"/>
        <v>145.96237982961844</v>
      </c>
      <c r="AP22" s="7">
        <f>ROW()</f>
        <v>22</v>
      </c>
    </row>
    <row r="23" spans="2:42" ht="14" customHeight="1">
      <c r="H23" s="53"/>
      <c r="I23" s="53"/>
      <c r="J23" s="53"/>
      <c r="K23" s="12"/>
      <c r="L23" s="162"/>
      <c r="M23" s="162"/>
      <c r="N23" s="162"/>
      <c r="O23" s="162"/>
      <c r="P23" s="281"/>
      <c r="Q23" s="52"/>
      <c r="R23" s="12"/>
      <c r="S23" s="12"/>
      <c r="T23" s="12"/>
      <c r="U23" s="12"/>
      <c r="V23" s="12"/>
      <c r="W23" s="12"/>
      <c r="X23" s="12"/>
      <c r="Y23" s="12"/>
      <c r="Z23" s="12"/>
      <c r="AA23" s="12"/>
      <c r="AB23" s="12"/>
      <c r="AC23" s="12"/>
      <c r="AD23" s="12"/>
      <c r="AE23" s="12"/>
      <c r="AF23" s="12"/>
      <c r="AG23" s="12"/>
      <c r="AH23" s="12"/>
      <c r="AI23" s="12"/>
      <c r="AJ23" s="12"/>
      <c r="AK23" s="12"/>
      <c r="AL23" s="12"/>
      <c r="AM23" s="12"/>
      <c r="AP23" s="7">
        <f>ROW()</f>
        <v>23</v>
      </c>
    </row>
    <row r="24" spans="2:42" ht="14" customHeight="1">
      <c r="B24" t="s">
        <v>14</v>
      </c>
      <c r="E24" s="768" t="s">
        <v>186</v>
      </c>
      <c r="F24" s="738"/>
      <c r="G24" s="738"/>
      <c r="H24" s="738"/>
      <c r="I24" s="738"/>
      <c r="J24" s="738"/>
      <c r="K24">
        <v>5.67</v>
      </c>
      <c r="M24" s="71"/>
      <c r="AP24" s="7">
        <f>ROW()</f>
        <v>24</v>
      </c>
    </row>
    <row r="25" spans="2:42" ht="14" customHeight="1">
      <c r="B25" s="32" t="s">
        <v>187</v>
      </c>
      <c r="E25" s="738"/>
      <c r="F25" s="738"/>
      <c r="G25" s="738"/>
      <c r="H25" s="738"/>
      <c r="I25" s="738"/>
      <c r="J25" s="738"/>
      <c r="K25" s="22">
        <f>$K$24*1000000/Parameters!$H$17</f>
        <v>135000</v>
      </c>
      <c r="M25" s="71"/>
      <c r="AP25" s="7">
        <f>ROW()</f>
        <v>25</v>
      </c>
    </row>
    <row r="26" spans="2:42" ht="14" customHeight="1">
      <c r="B26" s="8" t="s">
        <v>196</v>
      </c>
      <c r="K26" s="29">
        <f>Emissions!J106/Parameters!H16</f>
        <v>5.7540650430253049</v>
      </c>
      <c r="L26" s="22"/>
      <c r="M26" s="71"/>
      <c r="AP26" s="7">
        <f>ROW()</f>
        <v>26</v>
      </c>
    </row>
    <row r="27" spans="2:42" ht="14" customHeight="1">
      <c r="B27" s="134" t="s">
        <v>195</v>
      </c>
      <c r="K27" s="7">
        <f>K26*1000000/K25</f>
        <v>42.622704022409664</v>
      </c>
      <c r="L27" s="22"/>
      <c r="M27" s="71"/>
      <c r="AP27" s="7">
        <f>ROW()</f>
        <v>27</v>
      </c>
    </row>
    <row r="28" spans="2:42" ht="14" customHeight="1">
      <c r="B28" s="8" t="s">
        <v>15</v>
      </c>
      <c r="I28" s="20"/>
      <c r="J28" s="20"/>
      <c r="K28" s="191">
        <f>K26*Parameters!$H$13</f>
        <v>21.098238491092783</v>
      </c>
      <c r="L28" s="20"/>
      <c r="M28" s="71"/>
      <c r="Q28" s="21"/>
      <c r="R28" s="6"/>
      <c r="S28" s="6"/>
      <c r="T28" s="6"/>
      <c r="U28" s="6"/>
      <c r="V28" s="6"/>
      <c r="W28" s="6"/>
      <c r="X28" s="6"/>
      <c r="Y28" s="6"/>
      <c r="Z28" s="6"/>
      <c r="AA28" s="6"/>
      <c r="AB28" s="6"/>
      <c r="AC28" s="6"/>
      <c r="AD28" s="6"/>
      <c r="AE28" s="6"/>
      <c r="AF28" s="6"/>
      <c r="AG28" s="6"/>
      <c r="AH28" s="6"/>
      <c r="AI28" s="6"/>
      <c r="AJ28" s="6"/>
      <c r="AK28" s="6"/>
      <c r="AL28" s="6"/>
      <c r="AM28" s="6"/>
      <c r="AP28" s="7">
        <f>ROW()</f>
        <v>28</v>
      </c>
    </row>
    <row r="29" spans="2:42" ht="14" customHeight="1">
      <c r="B29" s="8"/>
      <c r="I29" s="20"/>
      <c r="J29" s="20"/>
      <c r="K29" s="191"/>
      <c r="L29" s="20"/>
      <c r="M29" s="71"/>
      <c r="Q29" s="21"/>
      <c r="R29" s="6"/>
      <c r="S29" s="6"/>
      <c r="T29" s="6"/>
      <c r="U29" s="6"/>
      <c r="V29" s="6"/>
      <c r="W29" s="6"/>
      <c r="X29" s="6"/>
      <c r="Y29" s="6"/>
      <c r="Z29" s="6"/>
      <c r="AA29" s="6"/>
      <c r="AB29" s="6"/>
      <c r="AC29" s="6"/>
      <c r="AD29" s="6"/>
      <c r="AE29" s="6"/>
      <c r="AF29" s="6"/>
      <c r="AG29" s="6"/>
      <c r="AH29" s="6"/>
      <c r="AI29" s="6"/>
      <c r="AJ29" s="6"/>
      <c r="AK29" s="6"/>
      <c r="AL29" s="6"/>
      <c r="AM29" s="6"/>
      <c r="AP29" s="7">
        <f>ROW()</f>
        <v>29</v>
      </c>
    </row>
    <row r="30" spans="2:42" ht="14" customHeight="1">
      <c r="B30" s="8" t="s">
        <v>485</v>
      </c>
      <c r="I30" s="127">
        <v>2005</v>
      </c>
      <c r="J30" s="127">
        <v>2006</v>
      </c>
      <c r="K30" s="127">
        <f t="shared" ref="K30:AM30" si="4">K13</f>
        <v>2007</v>
      </c>
      <c r="L30" s="127">
        <f t="shared" si="4"/>
        <v>2008</v>
      </c>
      <c r="M30" s="127">
        <f t="shared" si="4"/>
        <v>2009</v>
      </c>
      <c r="N30" s="127">
        <f t="shared" si="4"/>
        <v>2010</v>
      </c>
      <c r="O30" s="127">
        <f t="shared" si="4"/>
        <v>2011</v>
      </c>
      <c r="P30" s="109">
        <f t="shared" si="4"/>
        <v>2012</v>
      </c>
      <c r="Q30" s="127">
        <f t="shared" si="4"/>
        <v>2015</v>
      </c>
      <c r="R30" s="127">
        <f t="shared" si="4"/>
        <v>2016</v>
      </c>
      <c r="S30" s="127">
        <f t="shared" si="4"/>
        <v>2017</v>
      </c>
      <c r="T30" s="127">
        <f t="shared" si="4"/>
        <v>2018</v>
      </c>
      <c r="U30" s="127">
        <f t="shared" si="4"/>
        <v>2019</v>
      </c>
      <c r="V30" s="127">
        <f t="shared" si="4"/>
        <v>2020</v>
      </c>
      <c r="W30" s="127">
        <f t="shared" si="4"/>
        <v>2021</v>
      </c>
      <c r="X30" s="127">
        <f t="shared" si="4"/>
        <v>2022</v>
      </c>
      <c r="Y30" s="127">
        <f t="shared" si="4"/>
        <v>2023</v>
      </c>
      <c r="Z30" s="127">
        <f t="shared" si="4"/>
        <v>2024</v>
      </c>
      <c r="AA30" s="127">
        <f t="shared" si="4"/>
        <v>2025</v>
      </c>
      <c r="AB30" s="127">
        <f t="shared" si="4"/>
        <v>2026</v>
      </c>
      <c r="AC30" s="127">
        <f t="shared" si="4"/>
        <v>2027</v>
      </c>
      <c r="AD30" s="127">
        <f t="shared" si="4"/>
        <v>2028</v>
      </c>
      <c r="AE30" s="127">
        <f t="shared" si="4"/>
        <v>2029</v>
      </c>
      <c r="AF30" s="127">
        <f t="shared" si="4"/>
        <v>2030</v>
      </c>
      <c r="AG30" s="127">
        <f t="shared" si="4"/>
        <v>2031</v>
      </c>
      <c r="AH30" s="127">
        <f t="shared" si="4"/>
        <v>2032</v>
      </c>
      <c r="AI30" s="127">
        <f t="shared" si="4"/>
        <v>2033</v>
      </c>
      <c r="AJ30" s="127">
        <f t="shared" si="4"/>
        <v>2034</v>
      </c>
      <c r="AK30" s="127">
        <f t="shared" si="4"/>
        <v>2035</v>
      </c>
      <c r="AL30" s="127">
        <f t="shared" si="4"/>
        <v>2036</v>
      </c>
      <c r="AM30" s="127">
        <f t="shared" si="4"/>
        <v>2037</v>
      </c>
      <c r="AP30" s="7">
        <f>ROW()</f>
        <v>30</v>
      </c>
    </row>
    <row r="31" spans="2:42" ht="14" customHeight="1">
      <c r="B31" s="32" t="s">
        <v>521</v>
      </c>
      <c r="E31" s="91" t="s">
        <v>103</v>
      </c>
      <c r="H31" s="102"/>
      <c r="I31" s="128">
        <f>Energy!G23</f>
        <v>1698.1849999999999</v>
      </c>
      <c r="J31" s="128">
        <f>Energy!H23</f>
        <v>1651.0500000000002</v>
      </c>
      <c r="K31" s="128">
        <f>Energy!I23</f>
        <v>1639.5309999999999</v>
      </c>
      <c r="L31" s="128">
        <f>Energy!J23</f>
        <v>1553.8630000000001</v>
      </c>
      <c r="M31" s="128">
        <f>Energy!K23</f>
        <v>1407.6000000000001</v>
      </c>
      <c r="N31" s="128">
        <f>Energy!L23</f>
        <v>1445.4229999999998</v>
      </c>
      <c r="O31" s="128">
        <f>Energy!M23</f>
        <v>1440.02</v>
      </c>
      <c r="P31" s="285">
        <f>Energy!N23</f>
        <v>1413.06</v>
      </c>
      <c r="AP31" s="7">
        <f>ROW()</f>
        <v>31</v>
      </c>
    </row>
    <row r="32" spans="2:42" ht="14" customHeight="1">
      <c r="B32" s="8" t="s">
        <v>522</v>
      </c>
      <c r="M32"/>
      <c r="N32"/>
      <c r="AP32" s="7">
        <f>ROW()</f>
        <v>32</v>
      </c>
    </row>
    <row r="33" spans="2:42" ht="14" customHeight="1">
      <c r="B33" t="s">
        <v>95</v>
      </c>
      <c r="I33" s="22">
        <f>I31*Parameters!$H$18</f>
        <v>619837.52500000002</v>
      </c>
      <c r="J33" s="22">
        <f>J31*Parameters!$H$18</f>
        <v>602633.25000000012</v>
      </c>
      <c r="K33" s="22">
        <f>K31*Parameters!$H$18</f>
        <v>598428.81499999994</v>
      </c>
      <c r="L33" s="22">
        <f>L31*Parameters!$H$18</f>
        <v>567159.995</v>
      </c>
      <c r="M33" s="22">
        <f>M31*Parameters!$H$18</f>
        <v>513774.00000000006</v>
      </c>
      <c r="N33" s="22">
        <f>N31*Parameters!$H$18</f>
        <v>527579.3949999999</v>
      </c>
      <c r="O33" s="22">
        <f>O31*Parameters!$H$18</f>
        <v>525607.30000000005</v>
      </c>
      <c r="P33" s="285">
        <f>P31*Parameters!$H$18</f>
        <v>515766.89999999997</v>
      </c>
      <c r="AP33" s="7">
        <f>ROW()</f>
        <v>33</v>
      </c>
    </row>
    <row r="34" spans="2:42" ht="14" customHeight="1">
      <c r="B34" s="32" t="s">
        <v>520</v>
      </c>
      <c r="I34" s="128">
        <f>I33*Parameters!$H$17/1000</f>
        <v>26033.176050000002</v>
      </c>
      <c r="J34" s="128">
        <f>J33*Parameters!$H$17/1000</f>
        <v>25310.596500000003</v>
      </c>
      <c r="K34" s="128">
        <f>K33*Parameters!$H$17/1000</f>
        <v>25134.010229999996</v>
      </c>
      <c r="L34" s="128">
        <f>L33*Parameters!$H$17/1000</f>
        <v>23820.719789999999</v>
      </c>
      <c r="M34" s="128">
        <f>M33*Parameters!$H$17/1000</f>
        <v>21578.508000000005</v>
      </c>
      <c r="N34" s="128">
        <f>N33*Parameters!$H$17/1000</f>
        <v>22158.334589999995</v>
      </c>
      <c r="O34" s="128">
        <f>O33*Parameters!$H$17/1000</f>
        <v>22075.506600000001</v>
      </c>
      <c r="P34" s="285">
        <f>P33*Parameters!$H$17/1000</f>
        <v>21662.209799999997</v>
      </c>
      <c r="AP34" s="7">
        <f>ROW()</f>
        <v>34</v>
      </c>
    </row>
    <row r="35" spans="2:42" ht="14" customHeight="1">
      <c r="L35" s="71"/>
      <c r="M35" s="71"/>
      <c r="Q35" s="71"/>
      <c r="AP35" s="7">
        <f>ROW()</f>
        <v>35</v>
      </c>
    </row>
    <row r="36" spans="2:42" ht="14" customHeight="1">
      <c r="B36" s="32" t="s">
        <v>634</v>
      </c>
      <c r="J36" s="130"/>
      <c r="K36" s="346">
        <f>((3.118/0.766)*(130.7/229.6))^(1/22)-1</f>
        <v>3.8935733673822526E-2</v>
      </c>
      <c r="M36"/>
      <c r="N36"/>
      <c r="O36"/>
      <c r="AP36" s="7">
        <f>ROW()</f>
        <v>36</v>
      </c>
    </row>
    <row r="37" spans="2:42" ht="14" customHeight="1">
      <c r="B37" s="885" t="s">
        <v>523</v>
      </c>
      <c r="C37" s="738"/>
      <c r="D37" s="738"/>
      <c r="E37" s="738"/>
      <c r="F37" s="738"/>
      <c r="G37" s="738"/>
      <c r="H37" s="738"/>
      <c r="I37" s="738"/>
      <c r="J37" s="738"/>
      <c r="K37" s="738"/>
      <c r="L37" s="738"/>
      <c r="M37" s="738"/>
      <c r="N37" s="738"/>
      <c r="O37" s="738"/>
      <c r="P37" s="739"/>
      <c r="AP37" s="7">
        <f>ROW()</f>
        <v>37</v>
      </c>
    </row>
    <row r="38" spans="2:42" ht="14" customHeight="1">
      <c r="B38" s="738"/>
      <c r="C38" s="738"/>
      <c r="D38" s="738"/>
      <c r="E38" s="738"/>
      <c r="F38" s="738"/>
      <c r="G38" s="738"/>
      <c r="H38" s="738"/>
      <c r="I38" s="738"/>
      <c r="J38" s="738"/>
      <c r="K38" s="738"/>
      <c r="L38" s="738"/>
      <c r="M38" s="738"/>
      <c r="N38" s="738"/>
      <c r="O38" s="738"/>
      <c r="P38" s="739"/>
      <c r="AP38" s="7">
        <f>ROW()</f>
        <v>38</v>
      </c>
    </row>
    <row r="39" spans="2:42" ht="14" customHeight="1">
      <c r="B39" s="56" t="s">
        <v>524</v>
      </c>
      <c r="K39" s="351">
        <v>1</v>
      </c>
      <c r="M39"/>
      <c r="N39"/>
      <c r="O39"/>
      <c r="AP39" s="7">
        <f>ROW()</f>
        <v>39</v>
      </c>
    </row>
    <row r="40" spans="2:42" ht="14" customHeight="1">
      <c r="B40" s="366" t="s">
        <v>188</v>
      </c>
      <c r="K40" s="7"/>
      <c r="L40" s="194"/>
      <c r="M40" s="194"/>
      <c r="N40" s="194"/>
      <c r="O40" s="194"/>
      <c r="P40" s="373"/>
      <c r="Q40" s="194"/>
      <c r="R40" s="194"/>
      <c r="S40" s="194"/>
      <c r="T40" s="194"/>
      <c r="U40" s="194"/>
      <c r="V40" s="194"/>
      <c r="AP40" s="7">
        <f>ROW()</f>
        <v>40</v>
      </c>
    </row>
    <row r="41" spans="2:42" ht="14" customHeight="1">
      <c r="B41" s="32" t="s">
        <v>194</v>
      </c>
      <c r="K41" s="192">
        <f>K36*K39</f>
        <v>3.8935733673822526E-2</v>
      </c>
      <c r="L41" s="194"/>
      <c r="M41" s="194"/>
      <c r="N41" s="194"/>
      <c r="O41" s="194"/>
      <c r="P41" s="373"/>
      <c r="Q41" s="194"/>
      <c r="R41" s="194"/>
      <c r="S41" s="194"/>
      <c r="T41" s="194"/>
      <c r="U41" s="194"/>
      <c r="V41" s="194"/>
      <c r="AP41" s="7">
        <f>ROW()</f>
        <v>41</v>
      </c>
    </row>
    <row r="42" spans="2:42" ht="14" customHeight="1">
      <c r="B42" s="366" t="str">
        <f>CONCATENATE("Product of Rows ",AP36, " and ",AP39, ".")</f>
        <v>Product of Rows 36 and 39.</v>
      </c>
      <c r="M42" s="71"/>
      <c r="AP42" s="7">
        <f>ROW()</f>
        <v>42</v>
      </c>
    </row>
    <row r="43" spans="2:42" ht="14" customHeight="1">
      <c r="B43" t="s">
        <v>17</v>
      </c>
      <c r="I43" s="128">
        <f t="shared" ref="I43:P43" si="5">I34</f>
        <v>26033.176050000002</v>
      </c>
      <c r="J43" s="128">
        <f t="shared" si="5"/>
        <v>25310.596500000003</v>
      </c>
      <c r="K43" s="128">
        <f t="shared" si="5"/>
        <v>25134.010229999996</v>
      </c>
      <c r="L43" s="128">
        <f t="shared" si="5"/>
        <v>23820.719789999999</v>
      </c>
      <c r="M43" s="128">
        <f t="shared" si="5"/>
        <v>21578.508000000005</v>
      </c>
      <c r="N43" s="128">
        <f t="shared" si="5"/>
        <v>22158.334589999995</v>
      </c>
      <c r="O43" s="128">
        <f t="shared" si="5"/>
        <v>22075.506600000001</v>
      </c>
      <c r="P43" s="285">
        <f t="shared" si="5"/>
        <v>21662.209799999997</v>
      </c>
      <c r="Q43" s="128">
        <f>P43*(IF(R$13&gt;=2036,AEO!$L17,(IF(R$13&gt;=2026,AEO!$K17,AEO!$J17)))^Parameters!$H$9)^(Q13-P13)</f>
        <v>23399.161486714584</v>
      </c>
      <c r="R43" s="128">
        <f>Q43*(IF(S$13&gt;=2036,AEO!$L17,(IF(S$13&gt;=2026,AEO!$K17,AEO!$J17)))^Parameters!$H$9)^(R13-Q13)</f>
        <v>24008.561540388837</v>
      </c>
      <c r="S43" s="128">
        <f>R43*(IF(T$13&gt;=2036,AEO!$L17,(IF(T$13&gt;=2026,AEO!$K17,AEO!$J17)))^Parameters!$H$9)^(S13-R13)</f>
        <v>24633.832608314136</v>
      </c>
      <c r="T43" s="128">
        <f>S43*(IF(U$13&gt;=2036,AEO!$L17,(IF(U$13&gt;=2026,AEO!$K17,AEO!$J17)))^Parameters!$H$9)^(T13-S13)</f>
        <v>25275.388029957452</v>
      </c>
      <c r="U43" s="128">
        <f>T43*(IF(V$13&gt;=2036,AEO!$L17,(IF(V$13&gt;=2026,AEO!$K17,AEO!$J17)))^Parameters!$H$9)^(U13-T13)</f>
        <v>25933.651909662673</v>
      </c>
      <c r="V43" s="128">
        <f>U43*(IF(W$13&gt;=2036,AEO!$L17,(IF(W$13&gt;=2026,AEO!$K17,AEO!$J17)))^Parameters!$H$9)^(V13-U13)</f>
        <v>26609.059397007506</v>
      </c>
      <c r="W43" s="128">
        <f>V43*(IF(X$13&gt;=2036,AEO!$L17,(IF(X$13&gt;=2026,AEO!$K17,AEO!$J17)))^Parameters!$H$9)^(W13-V13)</f>
        <v>27302.056974461921</v>
      </c>
      <c r="X43" s="128">
        <f>W43*(IF(Y$13&gt;=2036,AEO!$L17,(IF(Y$13&gt;=2026,AEO!$K17,AEO!$J17)))^Parameters!$H$9)^(X13-W13)</f>
        <v>28013.102752538249</v>
      </c>
      <c r="Y43" s="128">
        <f>X43*(IF(Z$13&gt;=2036,AEO!$L17,(IF(Z$13&gt;=2026,AEO!$K17,AEO!$J17)))^Parameters!$H$9)^(Y13-X13)</f>
        <v>28742.666772628105</v>
      </c>
      <c r="Z43" s="128">
        <f>Y43*(IF(AA$13&gt;=2036,AEO!$L17,(IF(AA$13&gt;=2026,AEO!$K17,AEO!$J17)))^Parameters!$H$9)^(Z13-Y13)</f>
        <v>29491.231317726262</v>
      </c>
      <c r="AA43" s="128">
        <f>Z43*(IF(AB$13&gt;=2036,AEO!$L17,(IF(AB$13&gt;=2026,AEO!$K17,AEO!$J17)))^Parameters!$H$9)^(AA13-Z13)</f>
        <v>30202.614435149913</v>
      </c>
      <c r="AB43" s="128">
        <f>AA43*(IF(AC$13&gt;=2036,AEO!$L17,(IF(AC$13&gt;=2026,AEO!$K17,AEO!$J17)))^Parameters!$H$9)^(AB13-AA13)</f>
        <v>30931.157430854102</v>
      </c>
      <c r="AC43" s="128">
        <f>AB43*(IF(AD$13&gt;=2036,AEO!$L17,(IF(AD$13&gt;=2026,AEO!$K17,AEO!$J17)))^Parameters!$H$9)^(AC13-AB13)</f>
        <v>31677.274232883214</v>
      </c>
      <c r="AD43" s="128">
        <f>AC43*(IF(AE$13&gt;=2036,AEO!$L17,(IF(AE$13&gt;=2026,AEO!$K17,AEO!$J17)))^Parameters!$H$9)^(AD13-AC13)</f>
        <v>32441.388753992662</v>
      </c>
      <c r="AE43" s="128">
        <f>AD43*(IF(AF$13&gt;=2036,AEO!$L17,(IF(AF$13&gt;=2026,AEO!$K17,AEO!$J17)))^Parameters!$H$9)^(AE13-AD13)</f>
        <v>33223.935132498606</v>
      </c>
      <c r="AF43" s="128">
        <f>AE43*(IF(AG$13&gt;=2036,AEO!$L17,(IF(AG$13&gt;=2026,AEO!$K17,AEO!$J17)))^Parameters!$H$9)^(AF13-AE13)</f>
        <v>34025.357978937427</v>
      </c>
      <c r="AG43" s="128">
        <f>AF43*(IF(AH$13&gt;=2036,AEO!$L17,(IF(AH$13&gt;=2026,AEO!$K17,AEO!$J17)))^Parameters!$H$9)^(AG13-AF13)</f>
        <v>34846.112628675066</v>
      </c>
      <c r="AH43" s="128">
        <f>AG43*(IF(AI$13&gt;=2036,AEO!$L17,(IF(AI$13&gt;=2026,AEO!$K17,AEO!$J17)))^Parameters!$H$9)^(AH13-AG13)</f>
        <v>35686.665400609774</v>
      </c>
      <c r="AI43" s="128">
        <f>AH43*(IF(AJ$13&gt;=2036,AEO!$L17,(IF(AJ$13&gt;=2026,AEO!$K17,AEO!$J17)))^Parameters!$H$9)^(AI13-AH13)</f>
        <v>36547.493862115254</v>
      </c>
      <c r="AJ43" s="128">
        <f>AI43*(IF(AK$13&gt;=2036,AEO!$L17,(IF(AK$13&gt;=2026,AEO!$K17,AEO!$J17)))^Parameters!$H$9)^(AJ13-AI13)</f>
        <v>37429.087100374723</v>
      </c>
      <c r="AK43" s="128">
        <f>AJ43*(IF(AL$13&gt;=2036,AEO!$L17,(IF(AL$13&gt;=2026,AEO!$K17,AEO!$J17)))^Parameters!$H$9)^(AK13-AJ13)</f>
        <v>38369.237560190391</v>
      </c>
      <c r="AL43" s="128">
        <f>AK43*(IF(AM$13&gt;=2036,AEO!$L17,(IF(AM$13&gt;=2026,AEO!$K17,AEO!$J17)))^Parameters!$H$9)^(AL13-AK13)</f>
        <v>39333.002886292306</v>
      </c>
      <c r="AM43" s="128">
        <f>AL43*(IF(AN$13&gt;=2036,AEO!$L17,(IF(AN$13&gt;=2026,AEO!$K17,AEO!$J17)))^Parameters!$H$9)^(AM13-AL13)</f>
        <v>40357.378656496097</v>
      </c>
      <c r="AN43" s="22"/>
      <c r="AP43" s="7">
        <f>ROW()</f>
        <v>43</v>
      </c>
    </row>
    <row r="44" spans="2:42" ht="14" customHeight="1">
      <c r="B44" s="366" t="str">
        <f>CONCATENATE("Historical figures are from Row ",AP34, ". Future figures apply income-elasticity for jet fuel in Parameters page, Row ",Parameters!O9,", to assumed GDP growth rates in 'AEO' tab, Row ",AEO!P17, ".")</f>
        <v>Historical figures are from Row 34. Future figures apply income-elasticity for jet fuel in Parameters page, Row 9, to assumed GDP growth rates in 'AEO' tab, Row 17.</v>
      </c>
      <c r="M44"/>
      <c r="AP44" s="7">
        <f>ROW()</f>
        <v>44</v>
      </c>
    </row>
    <row r="45" spans="2:42" ht="14" customHeight="1">
      <c r="B45" s="56" t="s">
        <v>526</v>
      </c>
      <c r="G45" s="196">
        <v>10</v>
      </c>
      <c r="H45" s="85" t="s">
        <v>26</v>
      </c>
      <c r="J45" s="347">
        <f>'Personal Ground Travel'!J47/5</f>
        <v>2E-3</v>
      </c>
      <c r="K45" s="13">
        <f t="shared" ref="K45:AM45" si="6">K13</f>
        <v>2007</v>
      </c>
      <c r="L45" s="13">
        <f t="shared" si="6"/>
        <v>2008</v>
      </c>
      <c r="M45" s="13">
        <f t="shared" si="6"/>
        <v>2009</v>
      </c>
      <c r="N45" s="13">
        <f t="shared" si="6"/>
        <v>2010</v>
      </c>
      <c r="O45" s="13">
        <f t="shared" si="6"/>
        <v>2011</v>
      </c>
      <c r="P45" s="283">
        <f t="shared" si="6"/>
        <v>2012</v>
      </c>
      <c r="Q45" s="13">
        <f t="shared" si="6"/>
        <v>2015</v>
      </c>
      <c r="R45" s="13">
        <f t="shared" si="6"/>
        <v>2016</v>
      </c>
      <c r="S45" s="13">
        <f t="shared" si="6"/>
        <v>2017</v>
      </c>
      <c r="T45" s="13">
        <f t="shared" si="6"/>
        <v>2018</v>
      </c>
      <c r="U45" s="13">
        <f t="shared" si="6"/>
        <v>2019</v>
      </c>
      <c r="V45" s="13">
        <f t="shared" si="6"/>
        <v>2020</v>
      </c>
      <c r="W45" s="13">
        <f t="shared" si="6"/>
        <v>2021</v>
      </c>
      <c r="X45" s="13">
        <f t="shared" si="6"/>
        <v>2022</v>
      </c>
      <c r="Y45" s="13">
        <f t="shared" si="6"/>
        <v>2023</v>
      </c>
      <c r="Z45" s="13">
        <f t="shared" si="6"/>
        <v>2024</v>
      </c>
      <c r="AA45" s="13">
        <f t="shared" si="6"/>
        <v>2025</v>
      </c>
      <c r="AB45" s="13">
        <f t="shared" si="6"/>
        <v>2026</v>
      </c>
      <c r="AC45" s="13">
        <f t="shared" si="6"/>
        <v>2027</v>
      </c>
      <c r="AD45" s="13">
        <f t="shared" si="6"/>
        <v>2028</v>
      </c>
      <c r="AE45" s="13">
        <f t="shared" si="6"/>
        <v>2029</v>
      </c>
      <c r="AF45" s="13">
        <f t="shared" si="6"/>
        <v>2030</v>
      </c>
      <c r="AG45" s="13">
        <f t="shared" si="6"/>
        <v>2031</v>
      </c>
      <c r="AH45" s="13">
        <f t="shared" si="6"/>
        <v>2032</v>
      </c>
      <c r="AI45" s="13">
        <f t="shared" si="6"/>
        <v>2033</v>
      </c>
      <c r="AJ45" s="13">
        <f t="shared" si="6"/>
        <v>2034</v>
      </c>
      <c r="AK45" s="13">
        <f t="shared" si="6"/>
        <v>2035</v>
      </c>
      <c r="AL45" s="13">
        <f t="shared" si="6"/>
        <v>2036</v>
      </c>
      <c r="AM45" s="13">
        <f t="shared" si="6"/>
        <v>2037</v>
      </c>
      <c r="AP45" s="7">
        <f>ROW()</f>
        <v>45</v>
      </c>
    </row>
    <row r="46" spans="2:42" ht="14" customHeight="1">
      <c r="B46" s="91" t="str">
        <f>CONCATENATE("CTC estimate. See discussion in Row ",'Personal Ground Travel'!AP48, ", Personal Ground Travel worksheet. We have divided that figure by 5 to reflect higher fuel purity required for aircraft engines.")</f>
        <v>CTC estimate. See discussion in Row 48, Personal Ground Travel worksheet. We have divided that figure by 5 to reflect higher fuel purity required for aircraft engines.</v>
      </c>
      <c r="H46" s="4"/>
      <c r="I46" s="4"/>
      <c r="J46" s="4"/>
      <c r="M46" s="71"/>
      <c r="AP46" s="7">
        <f>ROW()</f>
        <v>46</v>
      </c>
    </row>
    <row r="47" spans="2:42" ht="14" customHeight="1">
      <c r="B47" s="32" t="s">
        <v>593</v>
      </c>
      <c r="H47" s="30"/>
      <c r="I47" s="328">
        <v>1.7350000000000001</v>
      </c>
      <c r="J47" s="328">
        <v>1.998</v>
      </c>
      <c r="K47">
        <v>2.165</v>
      </c>
      <c r="L47">
        <v>3.052</v>
      </c>
      <c r="M47" s="328">
        <v>1.704</v>
      </c>
      <c r="N47" s="328">
        <v>2.2010000000000001</v>
      </c>
      <c r="O47" s="328">
        <v>3.0539999999999998</v>
      </c>
      <c r="P47" s="374">
        <v>3.1179999999999999</v>
      </c>
      <c r="Q47" s="329">
        <f>$P$47*((1+$K$41)*(AEO!$N$18))^(Q13-$P$13)</f>
        <v>3.6834458401696559</v>
      </c>
      <c r="R47" s="329">
        <f>$P$47*((1+$K$41)*(AEO!$N$18))^(R13-$P$13)</f>
        <v>3.8938601341866015</v>
      </c>
      <c r="S47" s="329">
        <f>$P$47*((1+$K$41)*(AEO!$N$18))^(S13-$P$13)</f>
        <v>4.1162941991049733</v>
      </c>
      <c r="T47" s="329">
        <f>$P$47*((1+$K$41)*(AEO!$N$18))^(T13-$P$13)</f>
        <v>4.3514346560176849</v>
      </c>
      <c r="U47" s="329">
        <f>$P$47*((1+$K$41)*(AEO!$N$18))^(U13-$P$13)</f>
        <v>4.600007348772321</v>
      </c>
      <c r="V47" s="329">
        <f>$P$47*((1+$K$41)*(AEO!$N$18))^(V13-$P$13)</f>
        <v>4.8627795845438415</v>
      </c>
      <c r="W47" s="329">
        <f>$P$47*((1+$K$41)*(AEO!$N$18))^(W13-$P$13)</f>
        <v>5.1405625023984669</v>
      </c>
      <c r="X47" s="329">
        <f>$P$47*((1+$K$41)*(AEO!$N$18))^(X13-$P$13)</f>
        <v>5.4342135771601194</v>
      </c>
      <c r="Y47" s="329">
        <f>$P$47*((1+$K$41)*(AEO!$N$18))^(Y13-$P$13)</f>
        <v>5.7446392663085133</v>
      </c>
      <c r="Z47" s="329">
        <f>$P$47*((1+$K$41)*(AEO!$N$18))^(Z13-$P$13)</f>
        <v>6.072797808079458</v>
      </c>
      <c r="AA47" s="329">
        <f>$P$47*((1+$K$41)*(AEO!$N$18))^(AA13-$P$13)</f>
        <v>6.4197021794047169</v>
      </c>
      <c r="AB47" s="329">
        <f>$P$47*((1+$K$41)*(AEO!$N$18))^(AB13-$P$13)</f>
        <v>6.7864232228221155</v>
      </c>
      <c r="AC47" s="329">
        <f>$P$47*((1+$K$41)*(AEO!$N$18))^(AC13-$P$13)</f>
        <v>7.1740929520082384</v>
      </c>
      <c r="AD47" s="329">
        <f>$P$47*((1+$K$41)*(AEO!$N$18))^(AD13-$P$13)</f>
        <v>7.58390804613739</v>
      </c>
      <c r="AE47" s="329">
        <f>$P$47*((1+$K$41)*(AEO!$N$18))^(AE13-$P$13)</f>
        <v>8.0171335438533919</v>
      </c>
      <c r="AF47" s="329">
        <f>$P$47*((1+$K$41)*(AEO!$N$18))^(AF13-$P$13)</f>
        <v>8.4751067482569589</v>
      </c>
      <c r="AG47" s="329">
        <f>$P$47*((1+$K$41)*(AEO!$N$18))^(AG13-$P$13)</f>
        <v>8.9592413549627814</v>
      </c>
      <c r="AH47" s="329">
        <f>$P$47*((1+$K$41)*(AEO!$N$18))^(AH13-$P$13)</f>
        <v>9.4710318159690132</v>
      </c>
      <c r="AI47" s="329">
        <f>$P$47*((1+$K$41)*(AEO!$N$18))^(AI13-$P$13)</f>
        <v>10.012057952809773</v>
      </c>
      <c r="AJ47" s="329">
        <f>$P$47*((1+$K$41)*(AEO!$N$18))^(AJ13-$P$13)</f>
        <v>10.583989833230792</v>
      </c>
      <c r="AK47" s="329">
        <f>$P$47*((1+$K$41)*(AEO!$N$18))^(AK13-$P$13)</f>
        <v>11.1885929264418</v>
      </c>
      <c r="AL47" s="329">
        <f>$P$47*((1+$K$41)*(AEO!$N$18))^(AL13-$P$13)</f>
        <v>11.827733552859101</v>
      </c>
      <c r="AM47" s="329">
        <f>$P$47*((1+$K$41)*(AEO!$N$18))^(AM13-$P$13)</f>
        <v>12.503384645160967</v>
      </c>
      <c r="AP47" s="7">
        <f>ROW()</f>
        <v>47</v>
      </c>
    </row>
    <row r="48" spans="2:42" ht="14" customHeight="1">
      <c r="B48" s="366" t="str">
        <f>CONCATENATE("Historical values use source given in Row ",AP37, ". Future values escalate and inflate year-2012 value by annual real increase rate in Cell K",AP41, " and annual economy-wide price (inflation) index in 'AEO' tab, Cell M",AEO!P18, ".")</f>
        <v>Historical values use source given in Row 37. Future values escalate and inflate year-2012 value by annual real increase rate in Cell K41 and annual economy-wide price (inflation) index in 'AEO' tab, Cell M18.</v>
      </c>
      <c r="K48" s="328"/>
      <c r="L48" s="328"/>
      <c r="M48" s="328"/>
      <c r="N48" s="329"/>
      <c r="O48" s="329"/>
      <c r="P48" s="374"/>
      <c r="Q48" s="329"/>
      <c r="R48" s="328"/>
      <c r="S48" s="328"/>
      <c r="T48" s="328"/>
      <c r="U48" s="328"/>
      <c r="V48" s="328"/>
      <c r="W48" s="328"/>
      <c r="X48" s="328"/>
      <c r="Y48" s="328"/>
      <c r="Z48" s="328"/>
      <c r="AA48" s="328"/>
      <c r="AB48" s="328"/>
      <c r="AC48" s="328"/>
      <c r="AD48" s="328"/>
      <c r="AE48" s="328"/>
      <c r="AF48" s="328"/>
      <c r="AG48" s="328"/>
      <c r="AH48" s="328"/>
      <c r="AI48" s="328"/>
      <c r="AJ48" s="328"/>
      <c r="AK48" s="328"/>
      <c r="AL48" s="328"/>
      <c r="AM48" s="328"/>
      <c r="AP48" s="7">
        <f>ROW()</f>
        <v>48</v>
      </c>
    </row>
    <row r="49" spans="2:42" ht="14" customHeight="1">
      <c r="B49" s="32" t="s">
        <v>527</v>
      </c>
      <c r="K49" s="329">
        <f>$P$49-0.01*($P$13-K13)</f>
        <v>0.19400000000000001</v>
      </c>
      <c r="L49" s="329">
        <f>$P$49-0.01*($P$13-L13)</f>
        <v>0.20399999999999999</v>
      </c>
      <c r="M49" s="329">
        <f>$P$49-0.01*($P$13-M13)</f>
        <v>0.214</v>
      </c>
      <c r="N49" s="329">
        <f>$P$49-0.01*($P$13-N13)</f>
        <v>0.224</v>
      </c>
      <c r="O49" s="329">
        <f>$P$49-0.01*($P$13-O13)</f>
        <v>0.23399999999999999</v>
      </c>
      <c r="P49" s="375">
        <v>0.24399999999999999</v>
      </c>
      <c r="Q49" s="329">
        <f>P$49*(AEO!$N$18)^(Q13-P$13)</f>
        <v>0.25704073384195236</v>
      </c>
      <c r="R49" s="329">
        <f>Q$49*(AEO!$N$18)^(R13-Q$13)</f>
        <v>0.26154072772499526</v>
      </c>
      <c r="S49" s="329">
        <f>R$49*(AEO!$N$18)^(S13-R$13)</f>
        <v>0.26611950268154644</v>
      </c>
      <c r="T49" s="329">
        <f>S$49*(AEO!$N$18)^(T13-S$13)</f>
        <v>0.27077843792626805</v>
      </c>
      <c r="U49" s="329">
        <f>T$49*(AEO!$N$18)^(U13-T$13)</f>
        <v>0.27551893681963541</v>
      </c>
      <c r="V49" s="329">
        <f>U$49*(AEO!$N$18)^(V13-U$13)</f>
        <v>0.28034242729065617</v>
      </c>
      <c r="W49" s="329">
        <f>V$49*(AEO!$N$18)^(W13-V$13)</f>
        <v>0.28525036226698969</v>
      </c>
      <c r="X49" s="329">
        <f>W$49*(AEO!$N$18)^(X13-W$13)</f>
        <v>0.29024422011259671</v>
      </c>
      <c r="Y49" s="329">
        <f>X$49*(AEO!$N$18)^(Y13-X$13)</f>
        <v>0.29532550507305094</v>
      </c>
      <c r="Z49" s="329">
        <f>Y$49*(AEO!$N$18)^(Z13-Y$13)</f>
        <v>0.30049574772864662</v>
      </c>
      <c r="AA49" s="329">
        <f>Z$49*(AEO!$N$18)^(AA13-Z$13)</f>
        <v>0.30575650545543853</v>
      </c>
      <c r="AB49" s="329">
        <f>AA$49*(AEO!$N$18)^(AB13-AA$13)</f>
        <v>0.31110936289435343</v>
      </c>
      <c r="AC49" s="329">
        <f>AB$49*(AEO!$N$18)^(AC13-AB$13)</f>
        <v>0.31655593242851437</v>
      </c>
      <c r="AD49" s="329">
        <f>AC$49*(AEO!$N$18)^(AD13-AC$13)</f>
        <v>0.32209785466892138</v>
      </c>
      <c r="AE49" s="329">
        <f>AD$49*(AEO!$N$18)^(AE13-AD$13)</f>
        <v>0.32773679894863467</v>
      </c>
      <c r="AF49" s="329">
        <f>AE$49*(AEO!$N$18)^(AF13-AE$13)</f>
        <v>0.33347446382560991</v>
      </c>
      <c r="AG49" s="329">
        <f>AF$49*(AEO!$N$18)^(AG13-AF$13)</f>
        <v>0.33931257759433636</v>
      </c>
      <c r="AH49" s="329">
        <f>AG$49*(AEO!$N$18)^(AH13-AG$13)</f>
        <v>0.34525289880643217</v>
      </c>
      <c r="AI49" s="329">
        <f>AH$49*(AEO!$N$18)^(AI13-AH$13)</f>
        <v>0.35129721680035392</v>
      </c>
      <c r="AJ49" s="329">
        <f>AI$49*(AEO!$N$18)^(AJ13-AI$13)</f>
        <v>0.35744735224037955</v>
      </c>
      <c r="AK49" s="329">
        <f>AJ$49*(AEO!$N$18)^(AK13-AJ$13)</f>
        <v>0.3637051576650272</v>
      </c>
      <c r="AL49" s="329">
        <f>AK$49*(AEO!$N$18)^(AL13-AK$13)</f>
        <v>0.3700725180450754</v>
      </c>
      <c r="AM49" s="329">
        <f>AL$49*(AEO!$N$18)^(AM13-AL$13)</f>
        <v>0.37655135135135237</v>
      </c>
      <c r="AP49" s="7">
        <f>ROW()</f>
        <v>49</v>
      </c>
    </row>
    <row r="50" spans="2:42" ht="14" customHeight="1">
      <c r="B50" s="366" t="s">
        <v>595</v>
      </c>
      <c r="C50" s="366"/>
      <c r="D50" s="366"/>
      <c r="E50" s="366"/>
      <c r="F50" s="366"/>
      <c r="G50" s="366"/>
      <c r="H50" s="366"/>
      <c r="I50" s="366"/>
      <c r="J50" s="366"/>
      <c r="K50" s="366"/>
      <c r="L50" s="366"/>
      <c r="M50" s="366"/>
      <c r="N50" s="366"/>
      <c r="O50" s="366"/>
      <c r="AP50" s="7">
        <f>ROW()</f>
        <v>50</v>
      </c>
    </row>
    <row r="51" spans="2:42" ht="14" customHeight="1">
      <c r="B51" s="32" t="s">
        <v>594</v>
      </c>
      <c r="C51" s="182"/>
      <c r="D51" s="182"/>
      <c r="E51" s="182"/>
      <c r="F51" s="182"/>
      <c r="G51" s="182"/>
      <c r="H51" s="182"/>
      <c r="I51" s="182"/>
      <c r="J51" s="182"/>
      <c r="K51" s="328">
        <f t="shared" ref="K51:AM51" si="7">K47+K49</f>
        <v>2.359</v>
      </c>
      <c r="L51" s="328">
        <f t="shared" si="7"/>
        <v>3.2560000000000002</v>
      </c>
      <c r="M51" s="328">
        <f t="shared" si="7"/>
        <v>1.9179999999999999</v>
      </c>
      <c r="N51" s="328">
        <f t="shared" si="7"/>
        <v>2.4250000000000003</v>
      </c>
      <c r="O51" s="328">
        <f t="shared" si="7"/>
        <v>3.2879999999999998</v>
      </c>
      <c r="P51" s="374">
        <f t="shared" si="7"/>
        <v>3.3620000000000001</v>
      </c>
      <c r="Q51" s="329">
        <f t="shared" si="7"/>
        <v>3.9404865740116084</v>
      </c>
      <c r="R51" s="328">
        <f t="shared" si="7"/>
        <v>4.1554008619115965</v>
      </c>
      <c r="S51" s="328">
        <f t="shared" si="7"/>
        <v>4.3824137017865201</v>
      </c>
      <c r="T51" s="328">
        <f t="shared" si="7"/>
        <v>4.6222130939439525</v>
      </c>
      <c r="U51" s="328">
        <f t="shared" si="7"/>
        <v>4.8755262855919561</v>
      </c>
      <c r="V51" s="328">
        <f t="shared" si="7"/>
        <v>5.1431220118344978</v>
      </c>
      <c r="W51" s="328">
        <f t="shared" si="7"/>
        <v>5.4258128646654562</v>
      </c>
      <c r="X51" s="328">
        <f t="shared" si="7"/>
        <v>5.7244577972727164</v>
      </c>
      <c r="Y51" s="328">
        <f t="shared" si="7"/>
        <v>6.0399647713815643</v>
      </c>
      <c r="Z51" s="328">
        <f t="shared" si="7"/>
        <v>6.3732935558081047</v>
      </c>
      <c r="AA51" s="328">
        <f t="shared" si="7"/>
        <v>6.7254586848601559</v>
      </c>
      <c r="AB51" s="328">
        <f t="shared" si="7"/>
        <v>7.0975325857164693</v>
      </c>
      <c r="AC51" s="328">
        <f t="shared" si="7"/>
        <v>7.4906488844367525</v>
      </c>
      <c r="AD51" s="328">
        <f t="shared" si="7"/>
        <v>7.9060059008063117</v>
      </c>
      <c r="AE51" s="328">
        <f t="shared" si="7"/>
        <v>8.344870342802027</v>
      </c>
      <c r="AF51" s="328">
        <f t="shared" si="7"/>
        <v>8.8085812120825686</v>
      </c>
      <c r="AG51" s="328">
        <f t="shared" si="7"/>
        <v>9.2985539325571178</v>
      </c>
      <c r="AH51" s="328">
        <f t="shared" si="7"/>
        <v>9.8162847147754455</v>
      </c>
      <c r="AI51" s="328">
        <f t="shared" si="7"/>
        <v>10.363355169610127</v>
      </c>
      <c r="AJ51" s="328">
        <f t="shared" si="7"/>
        <v>10.941437185471171</v>
      </c>
      <c r="AK51" s="328">
        <f t="shared" si="7"/>
        <v>11.552298084106827</v>
      </c>
      <c r="AL51" s="328">
        <f t="shared" si="7"/>
        <v>12.197806070904177</v>
      </c>
      <c r="AM51" s="328">
        <f t="shared" si="7"/>
        <v>12.879935996512319</v>
      </c>
      <c r="AP51" s="7">
        <f>ROW()</f>
        <v>51</v>
      </c>
    </row>
    <row r="52" spans="2:42" ht="14" customHeight="1">
      <c r="B52" s="366" t="str">
        <f>CONCATENATE("Sum of Rows ",AP47, " and ",AP49, ".")</f>
        <v>Sum of Rows 47 and 49.</v>
      </c>
      <c r="C52" s="182"/>
      <c r="D52" s="182"/>
      <c r="E52" s="182"/>
      <c r="F52" s="182"/>
      <c r="G52" s="182"/>
      <c r="H52" s="182"/>
      <c r="I52" s="182"/>
      <c r="J52" s="182"/>
      <c r="K52" s="182"/>
      <c r="L52" s="182"/>
      <c r="M52" s="182"/>
      <c r="N52" s="182"/>
      <c r="O52" s="182"/>
      <c r="P52" s="369"/>
      <c r="AP52" s="7">
        <f>ROW()</f>
        <v>52</v>
      </c>
    </row>
    <row r="53" spans="2:42" ht="14" customHeight="1">
      <c r="B53" s="32" t="s">
        <v>724</v>
      </c>
      <c r="K53" s="329">
        <f>K51/(AEO!$N$18)^(K$13-$P$13)</f>
        <v>2.5728520771547871</v>
      </c>
      <c r="L53" s="329">
        <f>L51/(AEO!$N$18)^(L$13-$P$13)</f>
        <v>3.4900680716089534</v>
      </c>
      <c r="M53" s="329">
        <f>M51/(AEO!$N$18)^(M$13-$P$13)</f>
        <v>2.0205087192986255</v>
      </c>
      <c r="N53" s="329">
        <f>N51/(AEO!$N$18)^(N$13-$P$13)</f>
        <v>2.5106518502221236</v>
      </c>
      <c r="O53" s="329">
        <f>O51/(AEO!$N$18)^(O$13-$P$13)</f>
        <v>3.3455627826231722</v>
      </c>
      <c r="P53" s="374">
        <f>P51/(AEO!$N$18)^(P$13-$P$13)</f>
        <v>3.3620000000000001</v>
      </c>
      <c r="Q53" s="329">
        <f>Q51/(AEO!$N$18)^(Q$13-$P$13)</f>
        <v>3.7405694797386495</v>
      </c>
      <c r="R53" s="329">
        <f>R51/(AEO!$N$18)^(R$13-$P$13)</f>
        <v>3.8767109777737692</v>
      </c>
      <c r="S53" s="329">
        <f>S51/(AEO!$N$18)^(S$13-$P$13)</f>
        <v>4.0181532449183406</v>
      </c>
      <c r="T53" s="329">
        <f>T51/(AEO!$N$18)^(T$13-$P$13)</f>
        <v>4.1651026705066734</v>
      </c>
      <c r="U53" s="329">
        <f>U51/(AEO!$N$18)^(U$13-$P$13)</f>
        <v>4.3177736797932358</v>
      </c>
      <c r="V53" s="329">
        <f>V51/(AEO!$N$18)^(V$13-$P$13)</f>
        <v>4.4763890468370926</v>
      </c>
      <c r="W53" s="329">
        <f>W51/(AEO!$N$18)^(W$13-$P$13)</f>
        <v>4.6411802195687448</v>
      </c>
      <c r="X53" s="329">
        <f>X51/(AEO!$N$18)^(X$13-$P$13)</f>
        <v>4.8123876575136748</v>
      </c>
      <c r="Y53" s="329">
        <f>Y51/(AEO!$N$18)^(Y$13-$P$13)</f>
        <v>4.9902611826654057</v>
      </c>
      <c r="Z53" s="329">
        <f>Z51/(AEO!$N$18)^(Z$13-$P$13)</f>
        <v>5.175060344020066</v>
      </c>
      <c r="AA53" s="329">
        <f>AA51/(AEO!$N$18)^(AA$13-$P$13)</f>
        <v>5.3670547963043793</v>
      </c>
      <c r="AB53" s="329">
        <f>AB51/(AEO!$N$18)^(AB$13-$P$13)</f>
        <v>5.5665246934496864</v>
      </c>
      <c r="AC53" s="329">
        <f>AC51/(AEO!$N$18)^(AC$13-$P$13)</f>
        <v>5.7737610973861866</v>
      </c>
      <c r="AD53" s="329">
        <f>AD51/(AEO!$N$18)^(AD$13-$P$13)</f>
        <v>5.9890664027538811</v>
      </c>
      <c r="AE53" s="329">
        <f>AE51/(AEO!$N$18)^(AE$13-$P$13)</f>
        <v>6.2127547781499324</v>
      </c>
      <c r="AF53" s="329">
        <f>AF51/(AEO!$N$18)^(AF$13-$P$13)</f>
        <v>6.4451526245563331</v>
      </c>
      <c r="AG53" s="329">
        <f>AG51/(AEO!$N$18)^(AG$13-$P$13)</f>
        <v>6.6865990516167839</v>
      </c>
      <c r="AH53" s="329">
        <f>AH51/(AEO!$N$18)^(AH$13-$P$13)</f>
        <v>6.9374463724577557</v>
      </c>
      <c r="AI53" s="329">
        <f>AI51/(AEO!$N$18)^(AI$13-$P$13)</f>
        <v>7.1980606177757851</v>
      </c>
      <c r="AJ53" s="329">
        <f>AJ51/(AEO!$N$18)^(AJ$13-$P$13)</f>
        <v>7.4688220699411199</v>
      </c>
      <c r="AK53" s="329">
        <f>AK51/(AEO!$N$18)^(AK$13-$P$13)</f>
        <v>7.7501258178971026</v>
      </c>
      <c r="AL53" s="329">
        <f>AL51/(AEO!$N$18)^(AL$13-$P$13)</f>
        <v>8.042382333664948</v>
      </c>
      <c r="AM53" s="329">
        <f>AM51/(AEO!$N$18)^(AM$13-$P$13)</f>
        <v>8.3460180712951679</v>
      </c>
      <c r="AP53" s="7">
        <f>ROW()</f>
        <v>53</v>
      </c>
    </row>
    <row r="54" spans="2:42" ht="14" customHeight="1">
      <c r="B54" s="366" t="str">
        <f>CONCATENATE("Row ",AP51, ", deflated by economy-wide price index in 'AEO' tab.")</f>
        <v>Row 51, deflated by economy-wide price index in 'AEO' tab.</v>
      </c>
      <c r="C54" s="182"/>
      <c r="D54" s="182"/>
      <c r="E54" s="182"/>
      <c r="F54" s="182"/>
      <c r="G54" s="182"/>
      <c r="H54" s="182"/>
      <c r="I54" s="182"/>
      <c r="J54" s="182"/>
      <c r="K54" s="182"/>
      <c r="L54" s="182"/>
      <c r="M54" s="182"/>
      <c r="N54" s="182"/>
      <c r="O54" s="182"/>
      <c r="P54" s="369"/>
      <c r="AP54" s="7">
        <f>ROW()</f>
        <v>54</v>
      </c>
    </row>
    <row r="55" spans="2:42" ht="14" customHeight="1">
      <c r="B55" s="32" t="s">
        <v>671</v>
      </c>
      <c r="C55" s="182"/>
      <c r="D55" s="182"/>
      <c r="E55" s="182"/>
      <c r="F55" s="182"/>
      <c r="G55" s="182"/>
      <c r="H55" s="182"/>
      <c r="I55" s="500">
        <f t="shared" ref="I55:P55" si="8">I34</f>
        <v>26033.176050000002</v>
      </c>
      <c r="J55" s="500">
        <f t="shared" si="8"/>
        <v>25310.596500000003</v>
      </c>
      <c r="K55" s="500">
        <f t="shared" si="8"/>
        <v>25134.010229999996</v>
      </c>
      <c r="L55" s="500">
        <f t="shared" si="8"/>
        <v>23820.719789999999</v>
      </c>
      <c r="M55" s="500">
        <f t="shared" si="8"/>
        <v>21578.508000000005</v>
      </c>
      <c r="N55" s="500">
        <f t="shared" si="8"/>
        <v>22158.334589999995</v>
      </c>
      <c r="O55" s="500">
        <f t="shared" si="8"/>
        <v>22075.506600000001</v>
      </c>
      <c r="P55" s="285">
        <f t="shared" si="8"/>
        <v>21662.209799999997</v>
      </c>
      <c r="Q55" s="128">
        <f>P55*((IF(R$13&gt;=2036,AEO!$L17,(IF(R$13&gt;=2026,AEO!$K17,AEO!$J17)))^Parameters!$H$8))^(Q13-P13)*((Q53/P53)^Parameters!$G$8)</f>
        <v>21620.435642344128</v>
      </c>
      <c r="R55" s="128">
        <f>Q55*((IF(S$13&gt;=2036,AEO!$L17,(IF(S$13&gt;=2026,AEO!$K17,AEO!$J17)))^Parameters!$H$9))^(R13-Q13)*((R53/Q53)^Parameters!$G$9)</f>
        <v>21712.751772179345</v>
      </c>
      <c r="S55" s="128">
        <f>R55*((IF(T$13&gt;=2036,AEO!$L17,(IF(T$13&gt;=2026,AEO!$K17,AEO!$J17)))^Parameters!$H$9))^(S13-R13)*((S53/R53)^Parameters!$G$9)</f>
        <v>21804.33620783759</v>
      </c>
      <c r="T55" s="128">
        <f>S55*((IF(U$13&gt;=2036,AEO!$L17,(IF(U$13&gt;=2026,AEO!$K17,AEO!$J17)))^Parameters!$H$9))^(T13-S13)*((T53/S53)^Parameters!$G$9)</f>
        <v>21895.213600866988</v>
      </c>
      <c r="U55" s="128">
        <f>T55*((IF(V$13&gt;=2036,AEO!$L17,(IF(V$13&gt;=2026,AEO!$K17,AEO!$J17)))^Parameters!$H$9))^(U13-T13)*((U53/T53)^Parameters!$G$9)</f>
        <v>21985.408225144329</v>
      </c>
      <c r="V55" s="128">
        <f>U55*((IF(W$13&gt;=2036,AEO!$L17,(IF(W$13&gt;=2026,AEO!$K17,AEO!$J17)))^Parameters!$H$9))^(V13-U13)*((V53/U53)^Parameters!$G$9)</f>
        <v>22074.943963537829</v>
      </c>
      <c r="W55" s="128">
        <f>V55*((IF(X$13&gt;=2036,AEO!$L17,(IF(X$13&gt;=2026,AEO!$K17,AEO!$J17)))^Parameters!$H$9))^(W13-V13)*((W53/V53)^Parameters!$G$9)</f>
        <v>22163.84429634245</v>
      </c>
      <c r="X55" s="128">
        <f>W55*((IF(Y$13&gt;=2036,AEO!$L17,(IF(Y$13&gt;=2026,AEO!$K17,AEO!$J17)))^Parameters!$H$9))^(X13-W13)*((X53/W53)^Parameters!$G$9)</f>
        <v>22252.132291383601</v>
      </c>
      <c r="Y55" s="128">
        <f>X55*((IF(Z$13&gt;=2036,AEO!$L17,(IF(Z$13&gt;=2026,AEO!$K17,AEO!$J17)))^Parameters!$H$9))^(Y13-X13)*((Y53/X53)^Parameters!$G$9)</f>
        <v>22339.830595687639</v>
      </c>
      <c r="Z55" s="128">
        <f>Y55*((IF(AA$13&gt;=2036,AEO!$L17,(IF(AA$13&gt;=2026,AEO!$K17,AEO!$J17)))^Parameters!$H$9))^(Z13-Y13)*((Z53/Y53)^Parameters!$G$9)</f>
        <v>22426.96142862027</v>
      </c>
      <c r="AA55" s="128">
        <f>Z55*((IF(AB$13&gt;=2036,AEO!$L17,(IF(AB$13&gt;=2026,AEO!$K17,AEO!$J17)))^Parameters!$H$9))^(AA13-Z13)*((AA53/Z53)^Parameters!$G$9)</f>
        <v>22471.377852781719</v>
      </c>
      <c r="AB55" s="128">
        <f>AA55*((IF(AC$13&gt;=2036,AEO!$L17,(IF(AC$13&gt;=2026,AEO!$K17,AEO!$J17)))^Parameters!$H$9))^(AB13-AA13)*((AB53/AA53)^Parameters!$G$9)</f>
        <v>22515.026835876448</v>
      </c>
      <c r="AC55" s="128">
        <f>AB55*((IF(AD$13&gt;=2036,AEO!$L17,(IF(AD$13&gt;=2026,AEO!$K17,AEO!$J17)))^Parameters!$H$9))^(AC13-AB13)*((AC53/AB53)^Parameters!$G$9)</f>
        <v>22557.932866608779</v>
      </c>
      <c r="AD55" s="128">
        <f>AC55*((IF(AE$13&gt;=2036,AEO!$L17,(IF(AE$13&gt;=2026,AEO!$K17,AEO!$J17)))^Parameters!$H$9))^(AD13-AC13)*((AD53/AC53)^Parameters!$G$9)</f>
        <v>22600.11982593327</v>
      </c>
      <c r="AE55" s="128">
        <f>AD55*((IF(AF$13&gt;=2036,AEO!$L17,(IF(AF$13&gt;=2026,AEO!$K17,AEO!$J17)))^Parameters!$H$9))^(AE13-AD13)*((AE53/AD53)^Parameters!$G$9)</f>
        <v>22641.610991052145</v>
      </c>
      <c r="AF55" s="128">
        <f>AE55*((IF(AG$13&gt;=2036,AEO!$L17,(IF(AG$13&gt;=2026,AEO!$K17,AEO!$J17)))^Parameters!$H$9))^(AF13-AE13)*((AF53/AE53)^Parameters!$G$9)</f>
        <v>22682.42904033072</v>
      </c>
      <c r="AG55" s="128">
        <f>AF55*((IF(AH$13&gt;=2036,AEO!$L17,(IF(AH$13&gt;=2026,AEO!$K17,AEO!$J17)))^Parameters!$H$9))^(AG13-AF13)*((AG53/AF53)^Parameters!$G$9)</f>
        <v>22722.596059044641</v>
      </c>
      <c r="AH55" s="128">
        <f>AG55*((IF(AI$13&gt;=2036,AEO!$L17,(IF(AI$13&gt;=2026,AEO!$K17,AEO!$J17)))^Parameters!$H$9))^(AH13-AG13)*((AH53/AG53)^Parameters!$G$9)</f>
        <v>22762.133545877667</v>
      </c>
      <c r="AI55" s="128">
        <f>AH55*((IF(AJ$13&gt;=2036,AEO!$L17,(IF(AJ$13&gt;=2026,AEO!$K17,AEO!$J17)))^Parameters!$H$9))^(AI13-AH13)*((AI53/AH53)^Parameters!$G$9)</f>
        <v>22801.062420093091</v>
      </c>
      <c r="AJ55" s="128">
        <f>AI55*((IF(AK$13&gt;=2036,AEO!$L17,(IF(AK$13&gt;=2026,AEO!$K17,AEO!$J17)))^Parameters!$H$9))^(AJ13-AI13)*((AJ53/AI53)^Parameters!$G$9)</f>
        <v>22839.403029306668</v>
      </c>
      <c r="AK55" s="128">
        <f>AJ55*((IF(AL$13&gt;=2036,AEO!$L17,(IF(AL$13&gt;=2026,AEO!$K17,AEO!$J17)))^Parameters!$H$9))^(AK13-AJ13)*((AK53/AJ53)^Parameters!$G$9)</f>
        <v>22899.431412365378</v>
      </c>
      <c r="AL55" s="128">
        <f>AK55*((IF(AM$13&gt;=2036,AEO!$L17,(IF(AM$13&gt;=2026,AEO!$K17,AEO!$J17)))^Parameters!$H$9))^(AL13-AK13)*((AL53/AK53)^Parameters!$G$9)</f>
        <v>22959.0046570097</v>
      </c>
      <c r="AM55" s="128">
        <f>AL55*((IF(AN$13&gt;=2036,AEO!$L17,(IF(AN$13&gt;=2026,AEO!$K17,AEO!$J17)))^Parameters!$H$9))^(AM13-AL13)*((AM53/AL53)^Parameters!$G$9)</f>
        <v>23038.921165452106</v>
      </c>
      <c r="AP55" s="7">
        <f>ROW()</f>
        <v>55</v>
      </c>
    </row>
    <row r="56" spans="2:42" ht="14" customHeight="1">
      <c r="B56" s="885" t="str">
        <f>CONCATENATE("Historical figures are from Row ",AP34, ". Future figures apply (i) income-elasticity for jet fuel in Parameters page, Row ",Parameters!O9,", to assumed GDP growth rates in 'AEO' tab, Row ",AEO!P17, "; and (ii) price-elasticity for jet fuel in same row in Parameters page, to ratio of year's 2012-$ price to prior year's 2012-$ price calculated from Row ",AP53, ".")</f>
        <v>Historical figures are from Row 34. Future figures apply (i) income-elasticity for jet fuel in Parameters page, Row 9, to assumed GDP growth rates in 'AEO' tab, Row 17; and (ii) price-elasticity for jet fuel in same row in Parameters page, to ratio of year's 2012-$ price to prior year's 2012-$ price calculated from Row 53.</v>
      </c>
      <c r="C56" s="738"/>
      <c r="D56" s="738"/>
      <c r="E56" s="738"/>
      <c r="F56" s="738"/>
      <c r="G56" s="738"/>
      <c r="H56" s="738"/>
      <c r="I56" s="738"/>
      <c r="J56" s="738"/>
      <c r="K56" s="738"/>
      <c r="L56" s="738"/>
      <c r="M56" s="738"/>
      <c r="N56" s="738"/>
      <c r="O56" s="738"/>
      <c r="P56" s="739"/>
      <c r="AP56" s="7">
        <f>ROW()</f>
        <v>56</v>
      </c>
    </row>
    <row r="57" spans="2:42" ht="14" customHeight="1">
      <c r="B57" s="738"/>
      <c r="C57" s="738"/>
      <c r="D57" s="738"/>
      <c r="E57" s="738"/>
      <c r="F57" s="738"/>
      <c r="G57" s="738"/>
      <c r="H57" s="738"/>
      <c r="I57" s="738"/>
      <c r="J57" s="738"/>
      <c r="K57" s="738"/>
      <c r="L57" s="738"/>
      <c r="M57" s="738"/>
      <c r="N57" s="738"/>
      <c r="O57" s="738"/>
      <c r="P57" s="739"/>
      <c r="AP57" s="7">
        <f>ROW()</f>
        <v>57</v>
      </c>
    </row>
    <row r="58" spans="2:42" ht="14" customHeight="1">
      <c r="B58" t="s">
        <v>111</v>
      </c>
      <c r="C58" s="182"/>
      <c r="D58" s="182"/>
      <c r="E58" s="182"/>
      <c r="F58" s="182"/>
      <c r="G58" s="182"/>
      <c r="H58" s="182"/>
      <c r="I58" s="25">
        <f>I55*$K$28/Parameters!$H$14</f>
        <v>249.0948557748321</v>
      </c>
      <c r="J58" s="25">
        <f>J55*$K$28/Parameters!$H$14</f>
        <v>242.18095297452081</v>
      </c>
      <c r="K58" s="25">
        <f>K55*$K$28/Parameters!$H$14</f>
        <v>240.49131159641982</v>
      </c>
      <c r="L58" s="25">
        <f>L55*$K$28/Parameters!$H$14</f>
        <v>227.92527308794266</v>
      </c>
      <c r="M58" s="25">
        <f>M55*$K$28/Parameters!$H$14</f>
        <v>206.47097871471823</v>
      </c>
      <c r="N58" s="25">
        <f>N55*$K$28/Parameters!$H$14</f>
        <v>212.0189694989798</v>
      </c>
      <c r="O58" s="25">
        <f>O55*$K$28/Parameters!$H$14</f>
        <v>211.22644129636862</v>
      </c>
      <c r="P58" s="25">
        <f>P55*$K$28/Parameters!$H$14</f>
        <v>207.27186784784001</v>
      </c>
      <c r="Q58" s="341">
        <f>Q55*$K$28/Parameters!$H$14</f>
        <v>206.87215757981824</v>
      </c>
      <c r="R58" s="25">
        <f>R55*$K$28/Parameters!$H$14</f>
        <v>207.75547174028901</v>
      </c>
      <c r="S58" s="25">
        <f>S55*$K$28/Parameters!$H$14</f>
        <v>208.631784785908</v>
      </c>
      <c r="T58" s="25">
        <f>T55*$K$28/Parameters!$H$14</f>
        <v>209.50133259161456</v>
      </c>
      <c r="U58" s="25">
        <f>U55*$K$28/Parameters!$H$14</f>
        <v>210.3643474186521</v>
      </c>
      <c r="V58" s="25">
        <f>V55*$K$28/Parameters!$H$14</f>
        <v>211.22105778695243</v>
      </c>
      <c r="W58" s="25">
        <f>W55*$K$28/Parameters!$H$14</f>
        <v>212.07168836448051</v>
      </c>
      <c r="X58" s="25">
        <f>X55*$K$28/Parameters!$H$14</f>
        <v>212.91645987254336</v>
      </c>
      <c r="Y58" s="25">
        <f>Y55*$K$28/Parameters!$H$14</f>
        <v>213.7555890060903</v>
      </c>
      <c r="Z58" s="25">
        <f>Z55*$K$28/Parameters!$H$14</f>
        <v>214.58928836805867</v>
      </c>
      <c r="AA58" s="25">
        <f>AA55*$K$28/Parameters!$H$14</f>
        <v>215.01428079884315</v>
      </c>
      <c r="AB58" s="25">
        <f>AB55*$K$28/Parameters!$H$14</f>
        <v>215.43193007558975</v>
      </c>
      <c r="AC58" s="25">
        <f>AC55*$K$28/Parameters!$H$14</f>
        <v>215.84247051508947</v>
      </c>
      <c r="AD58" s="25">
        <f>AD55*$K$28/Parameters!$H$14</f>
        <v>216.24613061896346</v>
      </c>
      <c r="AE58" s="25">
        <f>AE55*$K$28/Parameters!$H$14</f>
        <v>216.64313311191191</v>
      </c>
      <c r="AF58" s="25">
        <f>AF55*$K$28/Parameters!$H$14</f>
        <v>217.03369498874665</v>
      </c>
      <c r="AG58" s="25">
        <f>AG55*$K$28/Parameters!$H$14</f>
        <v>217.4180275693827</v>
      </c>
      <c r="AH58" s="25">
        <f>AH55*$K$28/Parameters!$H$14</f>
        <v>217.79633656101154</v>
      </c>
      <c r="AI58" s="25">
        <f>AI55*$K$28/Parameters!$H$14</f>
        <v>218.16882212671982</v>
      </c>
      <c r="AJ58" s="25">
        <f>AJ55*$K$28/Parameters!$H$14</f>
        <v>218.5356789598635</v>
      </c>
      <c r="AK58" s="25">
        <f>AK55*$K$28/Parameters!$H$14</f>
        <v>219.11005226689633</v>
      </c>
      <c r="AL58" s="25">
        <f>AL55*$K$28/Parameters!$H$14</f>
        <v>219.68007064476214</v>
      </c>
      <c r="AM58" s="25">
        <f>AM55*$K$28/Parameters!$H$14</f>
        <v>220.44474073750285</v>
      </c>
      <c r="AN58" s="25"/>
      <c r="AP58" s="7">
        <f>ROW()</f>
        <v>58</v>
      </c>
    </row>
    <row r="59" spans="2:42" ht="14" customHeight="1">
      <c r="B59" s="366" t="str">
        <f>CONCATENATE("Product of Row ",AP55, " and Cell K",AP28, ", with conversion factor.")</f>
        <v>Product of Row 55 and Cell K28, with conversion factor.</v>
      </c>
      <c r="C59" s="182"/>
      <c r="D59" s="182"/>
      <c r="E59" s="182"/>
      <c r="F59" s="182"/>
      <c r="G59" s="182"/>
      <c r="H59" s="182"/>
      <c r="I59" s="182"/>
      <c r="J59" s="182"/>
      <c r="K59" s="182"/>
      <c r="L59" s="182"/>
      <c r="M59" s="182"/>
      <c r="N59" s="182"/>
      <c r="O59" s="182"/>
      <c r="P59" s="369"/>
      <c r="AP59" s="7">
        <f>ROW()</f>
        <v>59</v>
      </c>
    </row>
    <row r="60" spans="2:42" ht="14" customHeight="1">
      <c r="B60" s="32" t="s">
        <v>528</v>
      </c>
      <c r="K60" s="328">
        <f t="shared" ref="K60:R60" si="9">K51+K21</f>
        <v>2.359</v>
      </c>
      <c r="L60" s="328">
        <f t="shared" si="9"/>
        <v>3.2560000000000002</v>
      </c>
      <c r="M60" s="328">
        <f t="shared" si="9"/>
        <v>1.9179999999999999</v>
      </c>
      <c r="N60" s="328">
        <f t="shared" si="9"/>
        <v>2.4250000000000003</v>
      </c>
      <c r="O60" s="328">
        <f t="shared" si="9"/>
        <v>3.2879999999999998</v>
      </c>
      <c r="P60" s="374">
        <f t="shared" si="9"/>
        <v>3.3620000000000001</v>
      </c>
      <c r="Q60" s="329">
        <f t="shared" si="9"/>
        <v>5.0074622056730167</v>
      </c>
      <c r="R60" s="328">
        <f t="shared" si="9"/>
        <v>5.2398265962991495</v>
      </c>
      <c r="S60" s="328">
        <f t="shared" ref="S60:AM60" si="10">S47+S49+S21</f>
        <v>5.4845749160202306</v>
      </c>
      <c r="T60" s="328">
        <f t="shared" si="10"/>
        <v>5.7423998319479619</v>
      </c>
      <c r="U60" s="328">
        <f t="shared" si="10"/>
        <v>6.0140333344079204</v>
      </c>
      <c r="V60" s="328">
        <f t="shared" si="10"/>
        <v>6.3002489791828289</v>
      </c>
      <c r="W60" s="328">
        <f t="shared" si="10"/>
        <v>6.601864257774821</v>
      </c>
      <c r="X60" s="328">
        <f t="shared" si="10"/>
        <v>6.9197431029985337</v>
      </c>
      <c r="Y60" s="328">
        <f t="shared" si="10"/>
        <v>7.2547985376345698</v>
      </c>
      <c r="Z60" s="328">
        <f t="shared" si="10"/>
        <v>7.607995474314416</v>
      </c>
      <c r="AA60" s="328">
        <f t="shared" si="10"/>
        <v>7.9803536752745936</v>
      </c>
      <c r="AB60" s="328">
        <f t="shared" si="10"/>
        <v>8.3729508811112776</v>
      </c>
      <c r="AC60" s="328">
        <f t="shared" si="10"/>
        <v>8.7869261181881964</v>
      </c>
      <c r="AD60" s="328">
        <f t="shared" si="10"/>
        <v>9.2234831949020144</v>
      </c>
      <c r="AE60" s="328">
        <f t="shared" si="10"/>
        <v>9.6838943975922707</v>
      </c>
      <c r="AF60" s="328">
        <f t="shared" si="10"/>
        <v>10.16950439749918</v>
      </c>
      <c r="AG60" s="328">
        <f t="shared" si="10"/>
        <v>10.681734380823928</v>
      </c>
      <c r="AH60" s="328">
        <f t="shared" si="10"/>
        <v>11.222086414634706</v>
      </c>
      <c r="AI60" s="328">
        <f t="shared" si="10"/>
        <v>11.792148062089691</v>
      </c>
      <c r="AJ60" s="328">
        <f t="shared" si="10"/>
        <v>12.393597261217598</v>
      </c>
      <c r="AK60" s="328">
        <f t="shared" si="10"/>
        <v>13.028207482310057</v>
      </c>
      <c r="AL60" s="328">
        <f t="shared" si="10"/>
        <v>13.697853179839766</v>
      </c>
      <c r="AM60" s="328">
        <f t="shared" si="10"/>
        <v>14.404515555727697</v>
      </c>
      <c r="AP60" s="7">
        <f>ROW()</f>
        <v>60</v>
      </c>
    </row>
    <row r="61" spans="2:42" ht="14" customHeight="1">
      <c r="B61" s="366" t="str">
        <f>CONCATENATE("Sum of Rows ",AP51, " and ",AP21, ".")</f>
        <v>Sum of Rows 51 and 21.</v>
      </c>
      <c r="K61" s="328"/>
      <c r="L61" s="328"/>
      <c r="M61" s="328"/>
      <c r="N61" s="328"/>
      <c r="O61" s="328"/>
      <c r="P61" s="374"/>
      <c r="Q61" s="329"/>
      <c r="R61" s="328"/>
      <c r="S61" s="328"/>
      <c r="T61" s="328"/>
      <c r="U61" s="328"/>
      <c r="V61" s="328"/>
      <c r="W61" s="328"/>
      <c r="X61" s="328"/>
      <c r="Y61" s="328"/>
      <c r="Z61" s="328"/>
      <c r="AA61" s="328"/>
      <c r="AB61" s="328"/>
      <c r="AC61" s="328"/>
      <c r="AD61" s="328"/>
      <c r="AE61" s="328"/>
      <c r="AF61" s="328"/>
      <c r="AG61" s="328"/>
      <c r="AH61" s="328"/>
      <c r="AI61" s="328"/>
      <c r="AJ61" s="328"/>
      <c r="AK61" s="328"/>
      <c r="AL61" s="328"/>
      <c r="AM61" s="328"/>
      <c r="AP61" s="7">
        <f>ROW()</f>
        <v>61</v>
      </c>
    </row>
    <row r="62" spans="2:42" ht="14" customHeight="1">
      <c r="B62" s="32" t="s">
        <v>723</v>
      </c>
      <c r="K62" s="329">
        <f>K60/(AEO!$N$18)^(K$13-$P$13)</f>
        <v>2.5728520771547871</v>
      </c>
      <c r="L62" s="329">
        <f>L60/(AEO!$N$18)^(L$13-$P$13)</f>
        <v>3.4900680716089534</v>
      </c>
      <c r="M62" s="329">
        <f>M60/(AEO!$N$18)^(M$13-$P$13)</f>
        <v>2.0205087192986255</v>
      </c>
      <c r="N62" s="329">
        <f>N60/(AEO!$N$18)^(N$13-$P$13)</f>
        <v>2.5106518502221236</v>
      </c>
      <c r="O62" s="329">
        <f>O60/(AEO!$N$18)^(O$13-$P$13)</f>
        <v>3.3455627826231722</v>
      </c>
      <c r="P62" s="374">
        <f>P60/(AEO!$N$18)^(P$13-$P$13)</f>
        <v>3.3620000000000001</v>
      </c>
      <c r="Q62" s="329">
        <f>Q60/(AEO!$N$18)^(Q$13-$P$13)</f>
        <v>4.7534130482816073</v>
      </c>
      <c r="R62" s="329">
        <f>R60/(AEO!$N$18)^(R$13-$P$13)</f>
        <v>4.8884076320278789</v>
      </c>
      <c r="S62" s="329">
        <f>S60/(AEO!$N$18)^(S$13-$P$13)</f>
        <v>5.0287042701652158</v>
      </c>
      <c r="T62" s="329">
        <f>T60/(AEO!$N$18)^(T$13-$P$13)</f>
        <v>5.1745093506183437</v>
      </c>
      <c r="U62" s="329">
        <f>U60/(AEO!$N$18)^(U$13-$P$13)</f>
        <v>5.3260372972336238</v>
      </c>
      <c r="V62" s="329">
        <f>V60/(AEO!$N$18)^(V$13-$P$13)</f>
        <v>5.4835108826634862</v>
      </c>
      <c r="W62" s="329">
        <f>W60/(AEO!$N$18)^(W$13-$P$13)</f>
        <v>5.6471615534332695</v>
      </c>
      <c r="X62" s="329">
        <f>X60/(AEO!$N$18)^(X$13-$P$13)</f>
        <v>5.8172297676647657</v>
      </c>
      <c r="Y62" s="329">
        <f>Y60/(AEO!$N$18)^(Y$13-$P$13)</f>
        <v>5.9939653459492774</v>
      </c>
      <c r="Z62" s="329">
        <f>Z60/(AEO!$N$18)^(Z$13-$P$13)</f>
        <v>6.1776278358821806</v>
      </c>
      <c r="AA62" s="329">
        <f>AA60/(AEO!$N$18)^(AA$13-$P$13)</f>
        <v>6.368486890790912</v>
      </c>
      <c r="AB62" s="329">
        <f>AB60/(AEO!$N$18)^(AB$13-$P$13)</f>
        <v>6.5668226632089937</v>
      </c>
      <c r="AC62" s="329">
        <f>AC60/(AEO!$N$18)^(AC$13-$P$13)</f>
        <v>6.7729262136702673</v>
      </c>
      <c r="AD62" s="329">
        <f>AD60/(AEO!$N$18)^(AD$13-$P$13)</f>
        <v>6.9870999354198435</v>
      </c>
      <c r="AE62" s="329">
        <f>AE60/(AEO!$N$18)^(AE$13-$P$13)</f>
        <v>7.2096579956614502</v>
      </c>
      <c r="AF62" s="329">
        <f>AF60/(AEO!$N$18)^(AF$13-$P$13)</f>
        <v>7.4409267939851089</v>
      </c>
      <c r="AG62" s="329">
        <f>AG60/(AEO!$N$18)^(AG$13-$P$13)</f>
        <v>7.6812454386440088</v>
      </c>
      <c r="AH62" s="329">
        <f>AH60/(AEO!$N$18)^(AH$13-$P$13)</f>
        <v>7.9309662413755628</v>
      </c>
      <c r="AI62" s="329">
        <f>AI60/(AEO!$N$18)^(AI$13-$P$13)</f>
        <v>8.1904552314887109</v>
      </c>
      <c r="AJ62" s="329">
        <f>AJ60/(AEO!$N$18)^(AJ$13-$P$13)</f>
        <v>8.4600926899675528</v>
      </c>
      <c r="AK62" s="329">
        <f>AK60/(AEO!$N$18)^(AK$13-$P$13)</f>
        <v>8.7402737043707415</v>
      </c>
      <c r="AL62" s="329">
        <f>AL60/(AEO!$N$18)^(AL$13-$P$13)</f>
        <v>9.0314087453362486</v>
      </c>
      <c r="AM62" s="329">
        <f>AM60/(AEO!$N$18)^(AM$13-$P$13)</f>
        <v>9.333924265532799</v>
      </c>
      <c r="AP62" s="7">
        <f>ROW()</f>
        <v>62</v>
      </c>
    </row>
    <row r="63" spans="2:42" ht="14" customHeight="1">
      <c r="B63" s="366" t="str">
        <f>CONCATENATE("Row ",AP60, ", deflated by economy-wide price index in 'AEO' tab.")</f>
        <v>Row 60, deflated by economy-wide price index in 'AEO' tab.</v>
      </c>
      <c r="M63"/>
      <c r="Q63" s="71"/>
      <c r="AP63" s="7">
        <f>ROW()</f>
        <v>63</v>
      </c>
    </row>
    <row r="64" spans="2:42" ht="14" customHeight="1">
      <c r="B64" s="32" t="s">
        <v>633</v>
      </c>
      <c r="K64" s="15"/>
      <c r="L64" s="91" t="str">
        <f>CONCATENATE("Calculated as excess of Row ",AP60, " over Row ",AP51, ".")</f>
        <v>Calculated as excess of Row 60 over Row 51.</v>
      </c>
      <c r="M64" s="71"/>
      <c r="P64" s="71"/>
      <c r="Q64" s="343">
        <f>Q60/Q51-1</f>
        <v>0.27077255857140892</v>
      </c>
      <c r="R64" s="222">
        <f>R60/R51-1</f>
        <v>0.26096777914434188</v>
      </c>
      <c r="S64" s="222">
        <f t="shared" ref="S64:AM64" si="11">S60/S51-1</f>
        <v>0.25149638743243408</v>
      </c>
      <c r="T64" s="222">
        <f t="shared" si="11"/>
        <v>0.24234857096304885</v>
      </c>
      <c r="U64" s="222">
        <f t="shared" si="11"/>
        <v>0.23351469813227221</v>
      </c>
      <c r="V64" s="222">
        <f t="shared" si="11"/>
        <v>0.22498532305586827</v>
      </c>
      <c r="W64" s="222">
        <f t="shared" si="11"/>
        <v>0.21675118962693474</v>
      </c>
      <c r="X64" s="222">
        <f t="shared" si="11"/>
        <v>0.2088032348313027</v>
      </c>
      <c r="Y64" s="222">
        <f t="shared" si="11"/>
        <v>0.20113259137025197</v>
      </c>
      <c r="Z64" s="222">
        <f t="shared" si="11"/>
        <v>0.19373058963855572</v>
      </c>
      <c r="AA64" s="222">
        <f t="shared" si="11"/>
        <v>0.18658875910417261</v>
      </c>
      <c r="AB64" s="222">
        <f t="shared" si="11"/>
        <v>0.17969882913416169</v>
      </c>
      <c r="AC64" s="222">
        <f t="shared" si="11"/>
        <v>0.17305272930956717</v>
      </c>
      <c r="AD64" s="222">
        <f t="shared" si="11"/>
        <v>0.16664258927018216</v>
      </c>
      <c r="AE64" s="222">
        <f t="shared" si="11"/>
        <v>0.1604607381282126</v>
      </c>
      <c r="AF64" s="222">
        <f t="shared" si="11"/>
        <v>0.15449970348798714</v>
      </c>
      <c r="AG64" s="222">
        <f t="shared" si="11"/>
        <v>0.1487522101069787</v>
      </c>
      <c r="AH64" s="222">
        <f t="shared" si="11"/>
        <v>0.14321117823154128</v>
      </c>
      <c r="AI64" s="222">
        <f t="shared" si="11"/>
        <v>0.13786972163893485</v>
      </c>
      <c r="AJ64" s="222">
        <f t="shared" si="11"/>
        <v>0.13272114541540381</v>
      </c>
      <c r="AK64" s="222">
        <f t="shared" si="11"/>
        <v>0.12775894349832662</v>
      </c>
      <c r="AL64" s="222">
        <f t="shared" si="11"/>
        <v>0.12297679600872669</v>
      </c>
      <c r="AM64" s="222">
        <f t="shared" si="11"/>
        <v>0.11836856639879345</v>
      </c>
      <c r="AP64" s="7">
        <f>ROW()</f>
        <v>64</v>
      </c>
    </row>
    <row r="65" spans="1:42" ht="14" customHeight="1">
      <c r="B65" t="s">
        <v>121</v>
      </c>
      <c r="K65" s="20">
        <f>K28</f>
        <v>21.098238491092783</v>
      </c>
      <c r="L65" s="6">
        <f>$K$65*(1-$J$45)^(L17/$G$45)</f>
        <v>21.098238491092783</v>
      </c>
      <c r="M65" s="6">
        <f>$K$65*(1-$J$45)^(M17/$G$45)</f>
        <v>21.098238491092783</v>
      </c>
      <c r="N65" s="6">
        <f>$K$65*(1-$J$45)^(N17/$G$45)</f>
        <v>21.098238491092783</v>
      </c>
      <c r="O65" s="6">
        <f>$K$65*(1-$J$45)^(O17/$G$45)</f>
        <v>21.098238491092783</v>
      </c>
      <c r="P65" s="284">
        <f>$K$65*(1-$J$45)^(P17/$G$45)</f>
        <v>21.098238491092783</v>
      </c>
      <c r="Q65" s="371">
        <f>$K$65*(1-$J$45)^(Summary!Q98/$G$45)</f>
        <v>20.884751614379592</v>
      </c>
      <c r="R65" s="371">
        <f>$K$65*(1-$J$45)^(Summary!R98/$G$45)</f>
        <v>20.88499460326193</v>
      </c>
      <c r="S65" s="371">
        <f>$K$65*(1-$J$45)^(Summary!S98/$G$45)</f>
        <v>20.885237316989183</v>
      </c>
      <c r="T65" s="371">
        <f>$K$65*(1-$J$45)^(Summary!T98/$G$45)</f>
        <v>20.885479755869707</v>
      </c>
      <c r="U65" s="371">
        <f>$K$65*(1-$J$45)^(Summary!U98/$G$45)</f>
        <v>20.885721920211516</v>
      </c>
      <c r="V65" s="371">
        <f>$K$65*(1-$J$45)^(Summary!V98/$G$45)</f>
        <v>20.885963810322291</v>
      </c>
      <c r="W65" s="371">
        <f>$K$65*(1-$J$45)^(Summary!W98/$G$45)</f>
        <v>20.886205426509374</v>
      </c>
      <c r="X65" s="371">
        <f>$K$65*(1-$J$45)^(Summary!X98/$G$45)</f>
        <v>20.886446769079765</v>
      </c>
      <c r="Y65" s="371">
        <f>$K$65*(1-$J$45)^(Summary!Y98/$G$45)</f>
        <v>20.88668783834013</v>
      </c>
      <c r="Z65" s="371">
        <f>$K$65*(1-$J$45)^(Summary!Z98/$G$45)</f>
        <v>20.886928634596803</v>
      </c>
      <c r="AA65" s="371">
        <f>$K$65*(1-$J$45)^(Summary!AA98/$G$45)</f>
        <v>20.887169158155778</v>
      </c>
      <c r="AB65" s="371">
        <f>$K$65*(1-$J$45)^(Summary!AB98/$G$45)</f>
        <v>20.887409409322714</v>
      </c>
      <c r="AC65" s="371">
        <f>$K$65*(1-$J$45)^(Summary!AC98/$G$45)</f>
        <v>20.887649388402934</v>
      </c>
      <c r="AD65" s="371">
        <f>$K$65*(1-$J$45)^(Summary!AD98/$G$45)</f>
        <v>20.887889095701425</v>
      </c>
      <c r="AE65" s="371">
        <f>$K$65*(1-$J$45)^(Summary!AE98/$G$45)</f>
        <v>20.888128531522842</v>
      </c>
      <c r="AF65" s="371">
        <f>$K$65*(1-$J$45)^(Summary!AF98/$G$45)</f>
        <v>20.888367696171503</v>
      </c>
      <c r="AG65" s="371">
        <f>$K$65*(1-$J$45)^(Summary!AG98/$G$45)</f>
        <v>20.888606589951394</v>
      </c>
      <c r="AH65" s="371">
        <f>$K$65*(1-$J$45)^(Summary!AH98/$G$45)</f>
        <v>20.888845213166167</v>
      </c>
      <c r="AI65" s="371">
        <f>$K$65*(1-$J$45)^(Summary!AI98/$G$45)</f>
        <v>20.889083566119144</v>
      </c>
      <c r="AJ65" s="371">
        <f>$K$65*(1-$J$45)^(Summary!AJ98/$G$45)</f>
        <v>20.889321649113306</v>
      </c>
      <c r="AK65" s="371">
        <f>$K$65*(1-$J$45)^(Summary!AK98/$G$45)</f>
        <v>20.889559462451309</v>
      </c>
      <c r="AL65" s="371">
        <f>$K$65*(1-$J$45)^(Summary!AL98/$G$45)</f>
        <v>20.889797006435472</v>
      </c>
      <c r="AM65" s="371">
        <f>$K$65*(1-$J$45)^(Summary!AM98/$G$45)</f>
        <v>20.890034281367786</v>
      </c>
      <c r="AP65" s="7">
        <f>ROW()</f>
        <v>65</v>
      </c>
    </row>
    <row r="66" spans="1:42" ht="14" customHeight="1">
      <c r="B66" s="91" t="str">
        <f>CONCATENATE("Figures reduce baseline emission factor by percentage calculated from Cell I",AP45, " normalized by Cell F",AP45, ".")</f>
        <v>Figures reduce baseline emission factor by percentage calculated from Cell I45 normalized by Cell F45.</v>
      </c>
      <c r="C66" s="8"/>
      <c r="D66" s="8"/>
      <c r="E66" s="8"/>
      <c r="F66" s="8"/>
      <c r="G66" s="8"/>
      <c r="H66" s="8"/>
      <c r="K66" s="31"/>
      <c r="L66" s="31"/>
      <c r="M66" s="71"/>
      <c r="Q66" s="71"/>
      <c r="AP66" s="7">
        <f>ROW()</f>
        <v>66</v>
      </c>
    </row>
    <row r="67" spans="1:42" s="8" customFormat="1" ht="14" customHeight="1">
      <c r="I67" s="24"/>
      <c r="J67" s="24"/>
      <c r="K67" s="13">
        <f t="shared" ref="K67:AM67" si="12">K13</f>
        <v>2007</v>
      </c>
      <c r="L67" s="13">
        <f t="shared" si="12"/>
        <v>2008</v>
      </c>
      <c r="M67" s="13">
        <f t="shared" si="12"/>
        <v>2009</v>
      </c>
      <c r="N67" s="13">
        <f t="shared" si="12"/>
        <v>2010</v>
      </c>
      <c r="O67" s="13">
        <f t="shared" si="12"/>
        <v>2011</v>
      </c>
      <c r="P67" s="283">
        <f t="shared" si="12"/>
        <v>2012</v>
      </c>
      <c r="Q67" s="13">
        <f t="shared" si="12"/>
        <v>2015</v>
      </c>
      <c r="R67" s="13">
        <f t="shared" si="12"/>
        <v>2016</v>
      </c>
      <c r="S67" s="13">
        <f t="shared" si="12"/>
        <v>2017</v>
      </c>
      <c r="T67" s="13">
        <f t="shared" si="12"/>
        <v>2018</v>
      </c>
      <c r="U67" s="13">
        <f t="shared" si="12"/>
        <v>2019</v>
      </c>
      <c r="V67" s="13">
        <f t="shared" si="12"/>
        <v>2020</v>
      </c>
      <c r="W67" s="13">
        <f t="shared" si="12"/>
        <v>2021</v>
      </c>
      <c r="X67" s="13">
        <f t="shared" si="12"/>
        <v>2022</v>
      </c>
      <c r="Y67" s="13">
        <f t="shared" si="12"/>
        <v>2023</v>
      </c>
      <c r="Z67" s="13">
        <f t="shared" si="12"/>
        <v>2024</v>
      </c>
      <c r="AA67" s="13">
        <f t="shared" si="12"/>
        <v>2025</v>
      </c>
      <c r="AB67" s="13">
        <f t="shared" si="12"/>
        <v>2026</v>
      </c>
      <c r="AC67" s="13">
        <f t="shared" si="12"/>
        <v>2027</v>
      </c>
      <c r="AD67" s="13">
        <f t="shared" si="12"/>
        <v>2028</v>
      </c>
      <c r="AE67" s="13">
        <f t="shared" si="12"/>
        <v>2029</v>
      </c>
      <c r="AF67" s="13">
        <f t="shared" si="12"/>
        <v>2030</v>
      </c>
      <c r="AG67" s="13">
        <f t="shared" si="12"/>
        <v>2031</v>
      </c>
      <c r="AH67" s="13">
        <f t="shared" si="12"/>
        <v>2032</v>
      </c>
      <c r="AI67" s="13">
        <f t="shared" si="12"/>
        <v>2033</v>
      </c>
      <c r="AJ67" s="13">
        <f t="shared" si="12"/>
        <v>2034</v>
      </c>
      <c r="AK67" s="13">
        <f t="shared" si="12"/>
        <v>2035</v>
      </c>
      <c r="AL67" s="13">
        <f t="shared" si="12"/>
        <v>2036</v>
      </c>
      <c r="AM67" s="13">
        <f t="shared" si="12"/>
        <v>2037</v>
      </c>
      <c r="AN67" s="25"/>
      <c r="AP67" s="7">
        <f>ROW()</f>
        <v>67</v>
      </c>
    </row>
    <row r="68" spans="1:42" s="8" customFormat="1" ht="14" customHeight="1">
      <c r="B68" s="8" t="s">
        <v>583</v>
      </c>
      <c r="J68" s="91" t="str">
        <f>CONCATENATE("Row ",AP55, " (sales w/o c-tax), x (one plus Row ",AP64, ") raised to jet fuel price-elasticity.")</f>
        <v>Row 55 (sales w/o c-tax), x (one plus Row 64) raised to jet fuel price-elasticity.</v>
      </c>
      <c r="M68" s="115"/>
      <c r="N68"/>
      <c r="O68"/>
      <c r="P68" s="276"/>
      <c r="Q68" s="341">
        <f>Q55*(1+Q64)^Parameters!$G$9</f>
        <v>18725.082670297226</v>
      </c>
      <c r="R68" s="115">
        <f>R55*(1+R64)^Parameters!$G$9</f>
        <v>18892.632369169169</v>
      </c>
      <c r="S68" s="115">
        <f>S55*(1+S64)^Parameters!$G$9</f>
        <v>19058.341723076268</v>
      </c>
      <c r="T68" s="115">
        <f>T55*(1+T64)^Parameters!$G$9</f>
        <v>19222.200702664901</v>
      </c>
      <c r="U68" s="115">
        <f>U55*(1+U64)^Parameters!$G$9</f>
        <v>19384.202441125857</v>
      </c>
      <c r="V68" s="115">
        <f>V55*(1+V64)^Parameters!$G$9</f>
        <v>19544.343125795134</v>
      </c>
      <c r="W68" s="115">
        <f>W55*(1+W64)^Parameters!$G$9</f>
        <v>19702.62188399745</v>
      </c>
      <c r="X68" s="115">
        <f>X55*(1+X64)^Parameters!$G$9</f>
        <v>19859.040664014679</v>
      </c>
      <c r="Y68" s="115">
        <f>Y55*(1+Y64)^Parameters!$G$9</f>
        <v>20013.604112039178</v>
      </c>
      <c r="Z68" s="115">
        <f>Z55*(1+Z64)^Parameters!$G$9</f>
        <v>20166.31944594366</v>
      </c>
      <c r="AA68" s="115">
        <f>AA55*(1+AA64)^Parameters!$G$9</f>
        <v>20279.141450077474</v>
      </c>
      <c r="AB68" s="115">
        <f>AB55*(1+AB64)^Parameters!$G$9</f>
        <v>20389.650421855862</v>
      </c>
      <c r="AC68" s="115">
        <f>AC55*(1+AC64)^Parameters!$G$9</f>
        <v>20497.872114581347</v>
      </c>
      <c r="AD68" s="115">
        <f>AD55*(1+AD64)^Parameters!$G$9</f>
        <v>20603.834169079997</v>
      </c>
      <c r="AE68" s="115">
        <f>AE55*(1+AE64)^Parameters!$G$9</f>
        <v>20707.565965520251</v>
      </c>
      <c r="AF68" s="115">
        <f>AF55*(1+AF64)^Parameters!$G$9</f>
        <v>20809.098477769123</v>
      </c>
      <c r="AG68" s="115">
        <f>AG55*(1+AG64)^Parameters!$G$9</f>
        <v>20908.464130790297</v>
      </c>
      <c r="AH68" s="115">
        <f>AH55*(1+AH64)^Parameters!$G$9</f>
        <v>21005.696661533264</v>
      </c>
      <c r="AI68" s="115">
        <f>AI55*(1+AI64)^Parameters!$G$9</f>
        <v>21100.830983707605</v>
      </c>
      <c r="AJ68" s="115">
        <f>AJ55*(1+AJ64)^Parameters!$G$9</f>
        <v>21193.903056783911</v>
      </c>
      <c r="AK68" s="115">
        <f>AK55*(1+AK64)^Parameters!$G$9</f>
        <v>21305.657004052617</v>
      </c>
      <c r="AL68" s="115">
        <f>AL55*(1+AL64)^Parameters!$G$9</f>
        <v>21415.616770413879</v>
      </c>
      <c r="AM68" s="115">
        <f>AM55*(1+AM64)^Parameters!$G$9</f>
        <v>21543.247331808674</v>
      </c>
      <c r="AN68" s="25"/>
      <c r="AP68" s="7">
        <f>ROW()</f>
        <v>68</v>
      </c>
    </row>
    <row r="69" spans="1:42" s="86" customFormat="1" ht="14" customHeight="1">
      <c r="A69" s="8"/>
      <c r="B69" s="8" t="s">
        <v>584</v>
      </c>
      <c r="C69" s="8"/>
      <c r="D69" s="8"/>
      <c r="E69" s="8"/>
      <c r="F69" s="8"/>
      <c r="G69" s="8"/>
      <c r="H69" s="8"/>
      <c r="I69" s="24"/>
      <c r="J69" s="91" t="str">
        <f>CONCATENATE("Product of Rows ",AP68, " and ",AP65, ", with appropriate conversion factor.")</f>
        <v>Product of Rows 68 and 65, with appropriate conversion factor.</v>
      </c>
      <c r="M69" s="178"/>
      <c r="N69"/>
      <c r="O69"/>
      <c r="P69" s="276"/>
      <c r="Q69" s="341">
        <f>Q68*Q65/Parameters!$H$14</f>
        <v>177.35541974053575</v>
      </c>
      <c r="R69" s="115">
        <f>R68*R65/Parameters!$H$14</f>
        <v>178.94445581474366</v>
      </c>
      <c r="S69" s="115">
        <f>S68*S65/Parameters!$H$14</f>
        <v>180.51609512685914</v>
      </c>
      <c r="T69" s="115">
        <f>T68*T65/Parameters!$H$14</f>
        <v>182.07024201304864</v>
      </c>
      <c r="U69" s="115">
        <f>U68*U65/Parameters!$H$14</f>
        <v>183.60683076210427</v>
      </c>
      <c r="V69" s="115">
        <f>V68*V65/Parameters!$H$14</f>
        <v>185.12582459042105</v>
      </c>
      <c r="W69" s="115">
        <f>W68*W65/Parameters!$H$14</f>
        <v>186.62721456236275</v>
      </c>
      <c r="X69" s="115">
        <f>X68*X65/Parameters!$H$14</f>
        <v>188.11101846436873</v>
      </c>
      <c r="Y69" s="115">
        <f>Y68*Y65/Parameters!$H$14</f>
        <v>189.57727964094454</v>
      </c>
      <c r="Z69" s="115">
        <f>Z68*Z65/Parameters!$H$14</f>
        <v>191.02606580041132</v>
      </c>
      <c r="AA69" s="115">
        <f>AA68*AA65/Parameters!$H$14</f>
        <v>192.0969876870461</v>
      </c>
      <c r="AB69" s="115">
        <f>AB68*AB65/Parameters!$H$14</f>
        <v>193.14602089536191</v>
      </c>
      <c r="AC69" s="115">
        <f>AC68*AC65/Parameters!$H$14</f>
        <v>194.17340858852455</v>
      </c>
      <c r="AD69" s="115">
        <f>AD68*AD65/Parameters!$H$14</f>
        <v>195.17941182311407</v>
      </c>
      <c r="AE69" s="115">
        <f>AE68*AE65/Parameters!$H$14</f>
        <v>196.16430814638318</v>
      </c>
      <c r="AF69" s="115">
        <f>AF68*AF65/Parameters!$H$14</f>
        <v>197.12839021745313</v>
      </c>
      <c r="AG69" s="115">
        <f>AG68*AG65/Parameters!$H$14</f>
        <v>198.07196445722835</v>
      </c>
      <c r="AH69" s="115">
        <f>AH68*AH65/Parameters!$H$14</f>
        <v>198.99534973128783</v>
      </c>
      <c r="AI69" s="115">
        <f>AI68*AI65/Parameters!$H$14</f>
        <v>199.8988760694894</v>
      </c>
      <c r="AJ69" s="115">
        <f>AJ68*AJ65/Parameters!$H$14</f>
        <v>200.78288342552599</v>
      </c>
      <c r="AK69" s="115">
        <f>AK68*AK65/Parameters!$H$14</f>
        <v>201.8438951803852</v>
      </c>
      <c r="AL69" s="115">
        <f>AL68*AL65/Parameters!$H$14</f>
        <v>202.88793065830436</v>
      </c>
      <c r="AM69" s="115">
        <f>AM68*AM65/Parameters!$H$14</f>
        <v>204.09939922606273</v>
      </c>
      <c r="AP69" s="7">
        <f>ROW()</f>
        <v>69</v>
      </c>
    </row>
    <row r="70" spans="1:42" s="8" customFormat="1" ht="14" customHeight="1">
      <c r="B70" s="8" t="s">
        <v>481</v>
      </c>
      <c r="I70" s="24"/>
      <c r="J70" s="91" t="str">
        <f>CONCATENATE("Row ",AP69, " less Row ",AP58, ".")</f>
        <v>Row 69 less Row 58.</v>
      </c>
      <c r="M70" s="139"/>
      <c r="N70"/>
      <c r="O70"/>
      <c r="P70" s="276"/>
      <c r="Q70" s="339">
        <f t="shared" ref="Q70:AM70" si="13">Q69-Q58</f>
        <v>-29.516737839282484</v>
      </c>
      <c r="R70" s="139">
        <f t="shared" si="13"/>
        <v>-28.811015925545348</v>
      </c>
      <c r="S70" s="139">
        <f t="shared" si="13"/>
        <v>-28.115689659048854</v>
      </c>
      <c r="T70" s="139">
        <f t="shared" si="13"/>
        <v>-27.431090578565914</v>
      </c>
      <c r="U70" s="139">
        <f t="shared" si="13"/>
        <v>-26.757516656547836</v>
      </c>
      <c r="V70" s="139">
        <f t="shared" si="13"/>
        <v>-26.095233196531382</v>
      </c>
      <c r="W70" s="139">
        <f t="shared" si="13"/>
        <v>-25.444473802117756</v>
      </c>
      <c r="X70" s="139">
        <f t="shared" si="13"/>
        <v>-24.80544140817463</v>
      </c>
      <c r="Y70" s="139">
        <f t="shared" si="13"/>
        <v>-24.178309365145765</v>
      </c>
      <c r="Z70" s="139">
        <f t="shared" si="13"/>
        <v>-23.563222567647358</v>
      </c>
      <c r="AA70" s="139">
        <f t="shared" si="13"/>
        <v>-22.917293111797051</v>
      </c>
      <c r="AB70" s="139">
        <f t="shared" si="13"/>
        <v>-22.285909180227833</v>
      </c>
      <c r="AC70" s="139">
        <f t="shared" si="13"/>
        <v>-21.669061926564922</v>
      </c>
      <c r="AD70" s="139">
        <f t="shared" si="13"/>
        <v>-21.066718795849397</v>
      </c>
      <c r="AE70" s="139">
        <f t="shared" si="13"/>
        <v>-20.47882496552873</v>
      </c>
      <c r="AF70" s="139">
        <f t="shared" si="13"/>
        <v>-19.905304771293515</v>
      </c>
      <c r="AG70" s="139">
        <f t="shared" si="13"/>
        <v>-19.346063112154354</v>
      </c>
      <c r="AH70" s="139">
        <f t="shared" si="13"/>
        <v>-18.800986829723712</v>
      </c>
      <c r="AI70" s="139">
        <f t="shared" si="13"/>
        <v>-18.269946057230413</v>
      </c>
      <c r="AJ70" s="139">
        <f t="shared" si="13"/>
        <v>-17.752795534337508</v>
      </c>
      <c r="AK70" s="139">
        <f t="shared" si="13"/>
        <v>-17.266157086511129</v>
      </c>
      <c r="AL70" s="139">
        <f t="shared" si="13"/>
        <v>-16.792139986457784</v>
      </c>
      <c r="AM70" s="139">
        <f t="shared" si="13"/>
        <v>-16.345341511440125</v>
      </c>
      <c r="AN70" s="139"/>
      <c r="AP70" s="7">
        <f>ROW()</f>
        <v>70</v>
      </c>
    </row>
    <row r="71" spans="1:42" s="8" customFormat="1" ht="14" customHeight="1">
      <c r="B71" s="8" t="s">
        <v>482</v>
      </c>
      <c r="I71" s="24"/>
      <c r="J71" s="91" t="str">
        <f>CONCATENATE("Row ",AP69, " less Cell I",AP58, ".")</f>
        <v>Row 69 less Cell I58.</v>
      </c>
      <c r="M71" s="139"/>
      <c r="N71"/>
      <c r="O71"/>
      <c r="P71" s="276"/>
      <c r="Q71" s="339">
        <f>Q69-$I$58</f>
        <v>-71.739436034296347</v>
      </c>
      <c r="R71" s="139">
        <f>R69-$I$58</f>
        <v>-70.150399960088436</v>
      </c>
      <c r="S71" s="139">
        <f t="shared" ref="S71:AM71" si="14">S69-$I$58</f>
        <v>-68.578760647972956</v>
      </c>
      <c r="T71" s="139">
        <f t="shared" si="14"/>
        <v>-67.024613761783456</v>
      </c>
      <c r="U71" s="139">
        <f t="shared" si="14"/>
        <v>-65.488025012727832</v>
      </c>
      <c r="V71" s="139">
        <f t="shared" si="14"/>
        <v>-63.969031184411051</v>
      </c>
      <c r="W71" s="139">
        <f t="shared" si="14"/>
        <v>-62.467641212469346</v>
      </c>
      <c r="X71" s="139">
        <f t="shared" si="14"/>
        <v>-60.983837310463372</v>
      </c>
      <c r="Y71" s="139">
        <f t="shared" si="14"/>
        <v>-59.517576133887559</v>
      </c>
      <c r="Z71" s="139">
        <f t="shared" si="14"/>
        <v>-58.068789974420781</v>
      </c>
      <c r="AA71" s="139">
        <f t="shared" si="14"/>
        <v>-56.997868087786003</v>
      </c>
      <c r="AB71" s="139">
        <f t="shared" si="14"/>
        <v>-55.948834879470184</v>
      </c>
      <c r="AC71" s="139">
        <f t="shared" si="14"/>
        <v>-54.921447186307546</v>
      </c>
      <c r="AD71" s="139">
        <f t="shared" si="14"/>
        <v>-53.915443951718032</v>
      </c>
      <c r="AE71" s="139">
        <f t="shared" si="14"/>
        <v>-52.93054762844892</v>
      </c>
      <c r="AF71" s="139">
        <f t="shared" si="14"/>
        <v>-51.966465557378967</v>
      </c>
      <c r="AG71" s="139">
        <f t="shared" si="14"/>
        <v>-51.022891317603751</v>
      </c>
      <c r="AH71" s="139">
        <f t="shared" si="14"/>
        <v>-50.099506043544267</v>
      </c>
      <c r="AI71" s="139">
        <f t="shared" si="14"/>
        <v>-49.195979705342694</v>
      </c>
      <c r="AJ71" s="139">
        <f t="shared" si="14"/>
        <v>-48.311972349306103</v>
      </c>
      <c r="AK71" s="139">
        <f t="shared" si="14"/>
        <v>-47.250960594446894</v>
      </c>
      <c r="AL71" s="139">
        <f t="shared" si="14"/>
        <v>-46.206925116527742</v>
      </c>
      <c r="AM71" s="139">
        <f t="shared" si="14"/>
        <v>-44.995456548769369</v>
      </c>
      <c r="AP71" s="7">
        <f>ROW()</f>
        <v>71</v>
      </c>
    </row>
    <row r="72" spans="1:42" s="8" customFormat="1" ht="14" customHeight="1">
      <c r="B72" s="8" t="s">
        <v>585</v>
      </c>
      <c r="I72" s="24"/>
      <c r="J72" s="91" t="str">
        <f>CONCATENATE("Product of Rows ",AP17, " and ",AP69, ", with appropriate conversion factor.")</f>
        <v>Product of Rows 17 and 69, with appropriate conversion factor.</v>
      </c>
      <c r="M72" s="139"/>
      <c r="N72"/>
      <c r="O72"/>
      <c r="P72" s="276"/>
      <c r="Q72" s="342">
        <f t="shared" ref="Q72:AM72" si="15">ROUND(Q69*Q17,-2)/1000</f>
        <v>20</v>
      </c>
      <c r="R72" s="350">
        <f t="shared" si="15"/>
        <v>20.5</v>
      </c>
      <c r="S72" s="350">
        <f t="shared" si="15"/>
        <v>21</v>
      </c>
      <c r="T72" s="350">
        <f t="shared" si="15"/>
        <v>21.5</v>
      </c>
      <c r="U72" s="350">
        <f t="shared" si="15"/>
        <v>22.1</v>
      </c>
      <c r="V72" s="350">
        <f t="shared" si="15"/>
        <v>22.6</v>
      </c>
      <c r="W72" s="350">
        <f t="shared" si="15"/>
        <v>23.2</v>
      </c>
      <c r="X72" s="350">
        <f t="shared" si="15"/>
        <v>23.7</v>
      </c>
      <c r="Y72" s="350">
        <f t="shared" si="15"/>
        <v>24.3</v>
      </c>
      <c r="Z72" s="350">
        <f t="shared" si="15"/>
        <v>24.9</v>
      </c>
      <c r="AA72" s="350">
        <f t="shared" si="15"/>
        <v>25.4</v>
      </c>
      <c r="AB72" s="350">
        <f t="shared" si="15"/>
        <v>26</v>
      </c>
      <c r="AC72" s="350">
        <f t="shared" si="15"/>
        <v>26.6</v>
      </c>
      <c r="AD72" s="350">
        <f t="shared" si="15"/>
        <v>27.1</v>
      </c>
      <c r="AE72" s="350">
        <f t="shared" si="15"/>
        <v>27.7</v>
      </c>
      <c r="AF72" s="350">
        <f t="shared" si="15"/>
        <v>28.3</v>
      </c>
      <c r="AG72" s="350">
        <f t="shared" si="15"/>
        <v>28.9</v>
      </c>
      <c r="AH72" s="350">
        <f t="shared" si="15"/>
        <v>29.5</v>
      </c>
      <c r="AI72" s="350">
        <f t="shared" si="15"/>
        <v>30.1</v>
      </c>
      <c r="AJ72" s="350">
        <f t="shared" si="15"/>
        <v>30.8</v>
      </c>
      <c r="AK72" s="350">
        <f t="shared" si="15"/>
        <v>31.4</v>
      </c>
      <c r="AL72" s="350">
        <f t="shared" si="15"/>
        <v>32.1</v>
      </c>
      <c r="AM72" s="350">
        <f t="shared" si="15"/>
        <v>32.799999999999997</v>
      </c>
      <c r="AN72" s="25"/>
      <c r="AP72" s="7">
        <f>ROW()</f>
        <v>72</v>
      </c>
    </row>
    <row r="73" spans="1:42" s="8" customFormat="1" ht="14" customHeight="1">
      <c r="B73" s="8" t="s">
        <v>586</v>
      </c>
      <c r="I73" s="24"/>
      <c r="J73" s="91" t="str">
        <f>CONCATENATE("Row ",AP72, " prorated by ratio of Rows ",AP20, " and ",AP17, ".")</f>
        <v>Row 72 prorated by ratio of Rows 20 and 17.</v>
      </c>
      <c r="M73" s="139"/>
      <c r="N73"/>
      <c r="O73"/>
      <c r="P73" s="276"/>
      <c r="Q73" s="342">
        <f t="shared" ref="Q73:AM73" si="16">Q72*Q20/Q17</f>
        <v>0</v>
      </c>
      <c r="R73" s="350">
        <f t="shared" si="16"/>
        <v>0</v>
      </c>
      <c r="S73" s="350">
        <f t="shared" si="16"/>
        <v>0</v>
      </c>
      <c r="T73" s="350">
        <f t="shared" si="16"/>
        <v>0</v>
      </c>
      <c r="U73" s="350">
        <f t="shared" si="16"/>
        <v>0</v>
      </c>
      <c r="V73" s="350">
        <f t="shared" si="16"/>
        <v>0</v>
      </c>
      <c r="W73" s="350">
        <f t="shared" si="16"/>
        <v>0</v>
      </c>
      <c r="X73" s="350">
        <f t="shared" si="16"/>
        <v>0</v>
      </c>
      <c r="Y73" s="350">
        <f t="shared" si="16"/>
        <v>0</v>
      </c>
      <c r="Z73" s="350">
        <f t="shared" si="16"/>
        <v>0</v>
      </c>
      <c r="AA73" s="350">
        <f t="shared" si="16"/>
        <v>0</v>
      </c>
      <c r="AB73" s="350">
        <f t="shared" si="16"/>
        <v>0</v>
      </c>
      <c r="AC73" s="350">
        <f t="shared" si="16"/>
        <v>0</v>
      </c>
      <c r="AD73" s="350">
        <f t="shared" si="16"/>
        <v>0</v>
      </c>
      <c r="AE73" s="350">
        <f t="shared" si="16"/>
        <v>0</v>
      </c>
      <c r="AF73" s="350">
        <f t="shared" si="16"/>
        <v>0</v>
      </c>
      <c r="AG73" s="350">
        <f t="shared" si="16"/>
        <v>0</v>
      </c>
      <c r="AH73" s="350">
        <f t="shared" si="16"/>
        <v>0</v>
      </c>
      <c r="AI73" s="350">
        <f t="shared" si="16"/>
        <v>0</v>
      </c>
      <c r="AJ73" s="350">
        <f t="shared" si="16"/>
        <v>0</v>
      </c>
      <c r="AK73" s="350">
        <f t="shared" si="16"/>
        <v>0</v>
      </c>
      <c r="AL73" s="350">
        <f t="shared" si="16"/>
        <v>0</v>
      </c>
      <c r="AM73" s="350">
        <f t="shared" si="16"/>
        <v>0</v>
      </c>
      <c r="AP73" s="7">
        <f>ROW()</f>
        <v>73</v>
      </c>
    </row>
    <row r="74" spans="1:42" s="8" customFormat="1" ht="14" customHeight="1">
      <c r="B74" s="8" t="s">
        <v>587</v>
      </c>
      <c r="I74" s="24"/>
      <c r="J74" s="91" t="str">
        <f>CONCATENATE("Sum of Rows ",AP72, " and ",AP73, ".")</f>
        <v>Sum of Rows 72 and 73.</v>
      </c>
      <c r="M74" s="139"/>
      <c r="N74"/>
      <c r="O74"/>
      <c r="P74" s="276"/>
      <c r="Q74" s="342">
        <f>Q72+Q73</f>
        <v>20</v>
      </c>
      <c r="R74" s="350">
        <f t="shared" ref="R74:AM74" si="17">R72+R73</f>
        <v>20.5</v>
      </c>
      <c r="S74" s="350">
        <f t="shared" si="17"/>
        <v>21</v>
      </c>
      <c r="T74" s="350">
        <f t="shared" si="17"/>
        <v>21.5</v>
      </c>
      <c r="U74" s="350">
        <f t="shared" si="17"/>
        <v>22.1</v>
      </c>
      <c r="V74" s="350">
        <f t="shared" si="17"/>
        <v>22.6</v>
      </c>
      <c r="W74" s="350">
        <f t="shared" si="17"/>
        <v>23.2</v>
      </c>
      <c r="X74" s="350">
        <f t="shared" si="17"/>
        <v>23.7</v>
      </c>
      <c r="Y74" s="350">
        <f t="shared" si="17"/>
        <v>24.3</v>
      </c>
      <c r="Z74" s="350">
        <f t="shared" si="17"/>
        <v>24.9</v>
      </c>
      <c r="AA74" s="350">
        <f t="shared" si="17"/>
        <v>25.4</v>
      </c>
      <c r="AB74" s="350">
        <f t="shared" si="17"/>
        <v>26</v>
      </c>
      <c r="AC74" s="350">
        <f t="shared" si="17"/>
        <v>26.6</v>
      </c>
      <c r="AD74" s="350">
        <f t="shared" si="17"/>
        <v>27.1</v>
      </c>
      <c r="AE74" s="350">
        <f t="shared" si="17"/>
        <v>27.7</v>
      </c>
      <c r="AF74" s="350">
        <f t="shared" si="17"/>
        <v>28.3</v>
      </c>
      <c r="AG74" s="350">
        <f t="shared" si="17"/>
        <v>28.9</v>
      </c>
      <c r="AH74" s="350">
        <f t="shared" si="17"/>
        <v>29.5</v>
      </c>
      <c r="AI74" s="350">
        <f t="shared" si="17"/>
        <v>30.1</v>
      </c>
      <c r="AJ74" s="350">
        <f t="shared" si="17"/>
        <v>30.8</v>
      </c>
      <c r="AK74" s="350">
        <f t="shared" si="17"/>
        <v>31.4</v>
      </c>
      <c r="AL74" s="350">
        <f t="shared" si="17"/>
        <v>32.1</v>
      </c>
      <c r="AM74" s="350">
        <f t="shared" si="17"/>
        <v>32.799999999999997</v>
      </c>
      <c r="AN74" s="25"/>
      <c r="AP74" s="7">
        <f>ROW()</f>
        <v>74</v>
      </c>
    </row>
    <row r="75" spans="1:42" s="8" customFormat="1" ht="14" customHeight="1">
      <c r="A75"/>
      <c r="H75" s="24"/>
      <c r="I75" s="24"/>
      <c r="J75" s="24"/>
      <c r="M75" s="139"/>
      <c r="N75" s="139"/>
      <c r="O75" s="139"/>
      <c r="P75" s="376"/>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P75" s="7">
        <f>ROW()</f>
        <v>75</v>
      </c>
    </row>
    <row r="76" spans="1:42" ht="14" customHeight="1">
      <c r="B76" s="56" t="s">
        <v>16</v>
      </c>
      <c r="H76" s="56">
        <f>-Parameters!G9</f>
        <v>0.60000000000000009</v>
      </c>
      <c r="I76" s="56"/>
      <c r="J76" s="56"/>
      <c r="M76" s="71"/>
      <c r="AP76" s="7">
        <f>ROW()</f>
        <v>76</v>
      </c>
    </row>
    <row r="77" spans="1:42" ht="14" customHeight="1">
      <c r="B77" s="885" t="s">
        <v>529</v>
      </c>
      <c r="C77" s="738"/>
      <c r="D77" s="738"/>
      <c r="E77" s="738"/>
      <c r="F77" s="738"/>
      <c r="G77" s="738"/>
      <c r="H77" s="738"/>
      <c r="I77" s="738"/>
      <c r="J77" s="738"/>
      <c r="K77" s="738"/>
      <c r="L77" s="738"/>
      <c r="M77" s="738"/>
      <c r="N77" s="738"/>
      <c r="O77" s="738"/>
      <c r="P77" s="739"/>
      <c r="AP77" s="7">
        <f>ROW()</f>
        <v>77</v>
      </c>
    </row>
    <row r="78" spans="1:42" ht="14" customHeight="1">
      <c r="B78" s="738"/>
      <c r="C78" s="738"/>
      <c r="D78" s="738"/>
      <c r="E78" s="738"/>
      <c r="F78" s="738"/>
      <c r="G78" s="738"/>
      <c r="H78" s="738"/>
      <c r="I78" s="738"/>
      <c r="J78" s="738"/>
      <c r="K78" s="738"/>
      <c r="L78" s="738"/>
      <c r="M78" s="738"/>
      <c r="N78" s="738"/>
      <c r="O78" s="738"/>
      <c r="P78" s="739"/>
      <c r="AP78" s="7">
        <f>ROW()</f>
        <v>78</v>
      </c>
    </row>
    <row r="79" spans="1:42" ht="14" customHeight="1">
      <c r="B79" s="8" t="s">
        <v>123</v>
      </c>
      <c r="D79" t="s">
        <v>91</v>
      </c>
      <c r="M79" s="71"/>
      <c r="AP79" s="7">
        <f>ROW()</f>
        <v>79</v>
      </c>
    </row>
    <row r="80" spans="1:42" ht="14" customHeight="1">
      <c r="M80" s="71"/>
      <c r="AP80" s="7">
        <f>ROW()</f>
        <v>80</v>
      </c>
    </row>
    <row r="81" spans="1:42" ht="14" customHeight="1">
      <c r="B81" s="738" t="s">
        <v>754</v>
      </c>
      <c r="C81" s="738"/>
      <c r="D81" s="738"/>
      <c r="E81" s="738"/>
      <c r="F81" s="738"/>
      <c r="G81" s="738"/>
      <c r="H81" s="738"/>
      <c r="I81" s="58"/>
      <c r="J81" s="58"/>
      <c r="M81" s="71"/>
      <c r="AP81" s="7">
        <f>ROW()</f>
        <v>81</v>
      </c>
    </row>
    <row r="82" spans="1:42" ht="14" customHeight="1">
      <c r="B82" s="738"/>
      <c r="C82" s="738"/>
      <c r="D82" s="738"/>
      <c r="E82" s="738"/>
      <c r="F82" s="738"/>
      <c r="G82" s="738"/>
      <c r="H82" s="738"/>
      <c r="I82" s="58"/>
      <c r="J82" s="58"/>
      <c r="M82" s="71"/>
      <c r="AP82" s="7">
        <f>ROW()</f>
        <v>82</v>
      </c>
    </row>
    <row r="83" spans="1:42" ht="14" customHeight="1">
      <c r="M83" s="71"/>
      <c r="AP83" s="7">
        <f>ROW()</f>
        <v>83</v>
      </c>
    </row>
    <row r="84" spans="1:42" ht="14" customHeight="1">
      <c r="B84" s="13" t="s">
        <v>606</v>
      </c>
      <c r="F84" s="12"/>
      <c r="G84" s="12">
        <f>HLOOKUP(10,Q15:AM30,16)</f>
        <v>2024</v>
      </c>
      <c r="M84" s="71"/>
      <c r="AP84" s="7">
        <f>ROW()</f>
        <v>84</v>
      </c>
    </row>
    <row r="85" spans="1:42" ht="14" customHeight="1">
      <c r="M85" s="71"/>
      <c r="AP85" s="7">
        <f>ROW()</f>
        <v>85</v>
      </c>
    </row>
    <row r="86" spans="1:42" ht="14" customHeight="1">
      <c r="A86" s="13"/>
      <c r="B86" s="32" t="s">
        <v>631</v>
      </c>
      <c r="G86" s="38">
        <f>HLOOKUP(G84,Q30:AM43,14)</f>
        <v>29491.231317726262</v>
      </c>
      <c r="M86" s="71"/>
      <c r="AP86" s="7">
        <f>ROW()</f>
        <v>86</v>
      </c>
    </row>
    <row r="87" spans="1:42" ht="14" customHeight="1">
      <c r="B87" s="32" t="s">
        <v>632</v>
      </c>
      <c r="G87" s="38">
        <f>HLOOKUP(G84,Q67:AM68,2)</f>
        <v>20166.31944594366</v>
      </c>
      <c r="M87" s="71"/>
      <c r="AP87" s="7">
        <f>ROW()</f>
        <v>87</v>
      </c>
    </row>
    <row r="88" spans="1:42" s="13" customFormat="1" ht="14" customHeight="1">
      <c r="A88"/>
      <c r="B88" s="13" t="s">
        <v>7</v>
      </c>
      <c r="G88" s="39">
        <f>G87/G86</f>
        <v>0.68380730626945074</v>
      </c>
      <c r="M88" s="166"/>
      <c r="N88" s="166"/>
      <c r="O88" s="166"/>
      <c r="P88" s="283"/>
      <c r="AP88" s="7">
        <f>ROW()</f>
        <v>88</v>
      </c>
    </row>
    <row r="89" spans="1:42" ht="14" customHeight="1">
      <c r="M89" s="71"/>
      <c r="AP89" s="7">
        <f>ROW()</f>
        <v>89</v>
      </c>
    </row>
    <row r="90" spans="1:42" ht="14" customHeight="1">
      <c r="A90" s="13"/>
      <c r="B90" t="s">
        <v>0</v>
      </c>
      <c r="G90" s="21">
        <f>K28</f>
        <v>21.098238491092783</v>
      </c>
      <c r="M90" s="71"/>
      <c r="AP90" s="7">
        <f>ROW()</f>
        <v>90</v>
      </c>
    </row>
    <row r="91" spans="1:42" ht="14" customHeight="1">
      <c r="B91" t="s">
        <v>1</v>
      </c>
      <c r="G91" s="21">
        <f>HLOOKUP(G84,Q45:AM65,21)</f>
        <v>20.886928634596803</v>
      </c>
      <c r="M91" s="71"/>
      <c r="AP91" s="7">
        <f>ROW()</f>
        <v>91</v>
      </c>
    </row>
    <row r="92" spans="1:42" s="13" customFormat="1" ht="14" customHeight="1">
      <c r="A92"/>
      <c r="B92" s="13" t="s">
        <v>7</v>
      </c>
      <c r="G92" s="39">
        <f>G91/G90</f>
        <v>0.98998447872389017</v>
      </c>
      <c r="M92" s="166"/>
      <c r="N92" s="166"/>
      <c r="O92" s="166"/>
      <c r="P92" s="283"/>
      <c r="AP92" s="7">
        <f>ROW()</f>
        <v>92</v>
      </c>
    </row>
    <row r="93" spans="1:42" ht="14" customHeight="1">
      <c r="G93" s="21"/>
      <c r="M93" s="71"/>
      <c r="AP93" s="7">
        <f>ROW()</f>
        <v>93</v>
      </c>
    </row>
    <row r="94" spans="1:42" ht="14" customHeight="1">
      <c r="B94" s="3" t="s">
        <v>165</v>
      </c>
      <c r="G94" s="21"/>
      <c r="M94" s="71"/>
      <c r="AP94" s="7">
        <f>ROW()</f>
        <v>94</v>
      </c>
    </row>
    <row r="95" spans="1:42" ht="14" customHeight="1">
      <c r="A95" s="13"/>
      <c r="B95" s="32" t="s">
        <v>621</v>
      </c>
      <c r="G95" s="38">
        <f>HLOOKUP(G84,Q45:AM58,14)</f>
        <v>214.58928836805867</v>
      </c>
      <c r="M95" s="71"/>
      <c r="AP95" s="7">
        <f>ROW()</f>
        <v>95</v>
      </c>
    </row>
    <row r="96" spans="1:42" ht="14" customHeight="1">
      <c r="A96" s="13"/>
      <c r="B96" s="32" t="s">
        <v>622</v>
      </c>
      <c r="G96" s="38">
        <f>HLOOKUP(G84,Q67:AM69,3)</f>
        <v>191.02606580041132</v>
      </c>
      <c r="M96" s="71"/>
      <c r="AP96" s="7">
        <f>ROW()</f>
        <v>96</v>
      </c>
    </row>
    <row r="97" spans="1:42" ht="14" customHeight="1">
      <c r="A97" s="13"/>
      <c r="B97" s="13" t="s">
        <v>7</v>
      </c>
      <c r="C97" s="13"/>
      <c r="D97" s="13"/>
      <c r="E97" s="13"/>
      <c r="F97" s="13"/>
      <c r="G97" s="57">
        <f>G96/G95</f>
        <v>0.89019385474995261</v>
      </c>
      <c r="M97" s="71"/>
      <c r="AP97" s="7">
        <f>ROW()</f>
        <v>97</v>
      </c>
    </row>
    <row r="98" spans="1:42" ht="14" customHeight="1">
      <c r="G98" s="21"/>
      <c r="M98" s="71"/>
      <c r="AP98" s="7">
        <f>ROW()</f>
        <v>98</v>
      </c>
    </row>
    <row r="99" spans="1:42" ht="14" customHeight="1">
      <c r="B99" s="13" t="s">
        <v>6</v>
      </c>
      <c r="C99" s="13"/>
      <c r="D99" s="13"/>
      <c r="E99" s="13"/>
      <c r="F99" s="13"/>
      <c r="G99" s="57">
        <f>G92*G88</f>
        <v>0.67695861964474968</v>
      </c>
      <c r="M99" s="71"/>
      <c r="AP99" s="7">
        <f>ROW()</f>
        <v>99</v>
      </c>
    </row>
    <row r="100" spans="1:42" ht="14" customHeight="1">
      <c r="G100" s="21"/>
      <c r="M100" s="71"/>
      <c r="AP100" s="7">
        <f>ROW()</f>
        <v>100</v>
      </c>
    </row>
    <row r="101" spans="1:42" ht="14" customHeight="1">
      <c r="B101" t="s">
        <v>127</v>
      </c>
      <c r="G101" s="21"/>
      <c r="M101" s="71"/>
      <c r="AP101" s="7">
        <f>ROW()</f>
        <v>101</v>
      </c>
    </row>
    <row r="102" spans="1:42" ht="14" customHeight="1">
      <c r="B102" t="s">
        <v>128</v>
      </c>
      <c r="G102" s="6">
        <f>(1-G88)/(1-G92)</f>
        <v>31.570268287959045</v>
      </c>
      <c r="M102" s="71"/>
      <c r="AP102" s="7">
        <f>ROW()</f>
        <v>102</v>
      </c>
    </row>
    <row r="103" spans="1:42" ht="14" customHeight="1">
      <c r="M103" s="71"/>
      <c r="AP103" s="7">
        <f>ROW()</f>
        <v>103</v>
      </c>
    </row>
    <row r="104" spans="1:42" ht="14" customHeight="1">
      <c r="B104" s="40" t="s">
        <v>129</v>
      </c>
      <c r="C104" s="41"/>
      <c r="D104" s="41"/>
      <c r="E104" s="41"/>
      <c r="F104" s="41"/>
      <c r="G104" s="42">
        <f>G102/(1+G102)</f>
        <v>0.96929715189451815</v>
      </c>
      <c r="M104" s="71"/>
      <c r="AP104" s="7">
        <f>ROW()</f>
        <v>104</v>
      </c>
    </row>
    <row r="105" spans="1:42" ht="14" customHeight="1">
      <c r="B105" s="43" t="s">
        <v>130</v>
      </c>
      <c r="C105" s="44"/>
      <c r="D105" s="44"/>
      <c r="E105" s="44"/>
      <c r="F105" s="44"/>
      <c r="G105" s="45">
        <f>1-G104</f>
        <v>3.070284810548185E-2</v>
      </c>
      <c r="M105" s="71"/>
      <c r="AP105" s="7">
        <f>ROW()</f>
        <v>105</v>
      </c>
    </row>
    <row r="106" spans="1:42" ht="14" customHeight="1">
      <c r="M106" s="71"/>
      <c r="AP106" s="7">
        <f>ROW()</f>
        <v>106</v>
      </c>
    </row>
    <row r="107" spans="1:42" ht="14" customHeight="1">
      <c r="B107" s="32" t="s">
        <v>85</v>
      </c>
      <c r="G107" s="38">
        <f>G95-G96</f>
        <v>23.563222567647358</v>
      </c>
      <c r="M107" s="71"/>
      <c r="AP107" s="7">
        <f>ROW()</f>
        <v>107</v>
      </c>
    </row>
    <row r="108" spans="1:42" ht="14" customHeight="1">
      <c r="B108" s="91" t="str">
        <f>CONCATENATE("Difference between Rows ",AP95," and ",AP96, ".")</f>
        <v>Difference between Rows 95 and 96.</v>
      </c>
      <c r="M108" s="71"/>
      <c r="AP108" s="7">
        <f>ROW()</f>
        <v>108</v>
      </c>
    </row>
    <row r="109" spans="1:42" ht="14" customHeight="1">
      <c r="B109" s="32" t="s">
        <v>910</v>
      </c>
      <c r="G109" s="38">
        <f>G104*$G$107</f>
        <v>22.839764524277218</v>
      </c>
      <c r="M109" s="71"/>
      <c r="AP109" s="7">
        <f>ROW()</f>
        <v>109</v>
      </c>
    </row>
    <row r="110" spans="1:42" ht="14" customHeight="1">
      <c r="B110" s="32" t="s">
        <v>911</v>
      </c>
      <c r="G110" s="38">
        <f>G105*$G$107</f>
        <v>0.72345804337013886</v>
      </c>
      <c r="M110" s="71"/>
      <c r="AP110" s="7">
        <f>ROW()</f>
        <v>110</v>
      </c>
    </row>
    <row r="111" spans="1:42" ht="14" customHeight="1">
      <c r="B111" s="91" t="str">
        <f>CONCATENATE("Product of Rows ",AP107," and Rows ",AP104, " and ",AP105, ", respectively.")</f>
        <v>Product of Rows 107 and Rows 104 and 105, respectively.</v>
      </c>
      <c r="M111" s="71"/>
      <c r="AP111" s="7">
        <f>ROW()</f>
        <v>111</v>
      </c>
    </row>
    <row r="112" spans="1:42" ht="14" customHeight="1">
      <c r="M112" s="71"/>
    </row>
    <row r="113" spans="13:13" ht="14" customHeight="1">
      <c r="M113" s="71"/>
    </row>
    <row r="114" spans="13:13" ht="14" customHeight="1">
      <c r="M114" s="71"/>
    </row>
    <row r="115" spans="13:13" ht="14" customHeight="1">
      <c r="M115" s="71"/>
    </row>
    <row r="116" spans="13:13" ht="14" customHeight="1">
      <c r="M116" s="71"/>
    </row>
    <row r="117" spans="13:13" ht="14" customHeight="1">
      <c r="M117" s="71"/>
    </row>
    <row r="118" spans="13:13" ht="14" customHeight="1">
      <c r="M118" s="71"/>
    </row>
    <row r="119" spans="13:13" ht="14" customHeight="1">
      <c r="M119" s="71"/>
    </row>
    <row r="120" spans="13:13" ht="14" customHeight="1">
      <c r="M120" s="71"/>
    </row>
    <row r="121" spans="13:13" ht="14" customHeight="1">
      <c r="M121" s="71"/>
    </row>
    <row r="122" spans="13:13" ht="14" customHeight="1">
      <c r="M122" s="71"/>
    </row>
    <row r="123" spans="13:13" ht="14" customHeight="1">
      <c r="M123" s="71"/>
    </row>
    <row r="124" spans="13:13" ht="14" customHeight="1">
      <c r="M124" s="71"/>
    </row>
    <row r="125" spans="13:13" ht="14" customHeight="1">
      <c r="M125" s="71"/>
    </row>
  </sheetData>
  <mergeCells count="18">
    <mergeCell ref="Q3:R5"/>
    <mergeCell ref="B3:F5"/>
    <mergeCell ref="E24:J25"/>
    <mergeCell ref="N9:N12"/>
    <mergeCell ref="O9:O12"/>
    <mergeCell ref="Q9:Q12"/>
    <mergeCell ref="B37:P38"/>
    <mergeCell ref="P9:P12"/>
    <mergeCell ref="G3:I5"/>
    <mergeCell ref="B77:P78"/>
    <mergeCell ref="B81:H82"/>
    <mergeCell ref="K9:K12"/>
    <mergeCell ref="M9:M12"/>
    <mergeCell ref="L9:L12"/>
    <mergeCell ref="B9:H10"/>
    <mergeCell ref="I9:I12"/>
    <mergeCell ref="J9:J12"/>
    <mergeCell ref="B56:P57"/>
  </mergeCells>
  <phoneticPr fontId="3" type="noConversion"/>
  <printOptions gridLines="1"/>
  <pageMargins left="0.4" right="0.4" top="0.4" bottom="0.4" header="0.5" footer="0.5"/>
  <pageSetup scale="90" orientation="landscape" verticalDpi="0"/>
  <headerFooter alignWithMargins="0"/>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20"/>
  <sheetViews>
    <sheetView workbookViewId="0"/>
  </sheetViews>
  <sheetFormatPr baseColWidth="10" defaultColWidth="8.83203125" defaultRowHeight="14" customHeight="1" x14ac:dyDescent="0"/>
  <cols>
    <col min="1" max="1" width="2.6640625" customWidth="1"/>
    <col min="2" max="12" width="9.1640625" customWidth="1"/>
    <col min="13" max="16" width="9.1640625" style="71" customWidth="1"/>
    <col min="17" max="17" width="9.1640625" customWidth="1"/>
    <col min="18" max="41" width="8.6640625" customWidth="1"/>
    <col min="42" max="42" width="2.33203125" customWidth="1"/>
  </cols>
  <sheetData>
    <row r="1" spans="2:42" ht="14" customHeight="1">
      <c r="B1" s="59" t="s">
        <v>701</v>
      </c>
      <c r="P1" s="238">
        <f>Summary!F3</f>
        <v>41674</v>
      </c>
      <c r="AP1" s="7">
        <f>ROW()</f>
        <v>1</v>
      </c>
    </row>
    <row r="2" spans="2:42" ht="14" customHeight="1" thickBot="1">
      <c r="B2" s="1"/>
      <c r="P2" s="27"/>
      <c r="AP2" s="7">
        <f>ROW()</f>
        <v>2</v>
      </c>
    </row>
    <row r="3" spans="2:42" ht="14" customHeight="1">
      <c r="B3" s="856" t="s">
        <v>760</v>
      </c>
      <c r="C3" s="735"/>
      <c r="D3" s="735"/>
      <c r="E3" s="735"/>
      <c r="F3" s="735"/>
      <c r="G3" s="735"/>
      <c r="H3" s="735"/>
      <c r="I3" s="736"/>
      <c r="K3" s="356" t="str">
        <f>CONCATENATE("Key Tax Inputs (copied from 'Summary', Rows ",Summary!AO67,"-",Summary!AO79,")")</f>
        <v>Key Tax Inputs (copied from 'Summary', Rows 67-79)</v>
      </c>
      <c r="L3" s="357"/>
      <c r="M3" s="357"/>
      <c r="N3" s="357"/>
      <c r="O3" s="358"/>
      <c r="P3" s="27"/>
      <c r="Q3" s="869" t="str">
        <f>CONCATENATE("Tax is from 'Baucus' tab, Cell I",Baucus!M50,", converted from tonnes to tons.")</f>
        <v>Tax is from 'Baucus' tab, Cell I50, converted from tonnes to tons.</v>
      </c>
      <c r="R3" s="870"/>
      <c r="AP3" s="7">
        <f>ROW()</f>
        <v>3</v>
      </c>
    </row>
    <row r="4" spans="2:42" ht="14" customHeight="1">
      <c r="B4" s="737"/>
      <c r="C4" s="787"/>
      <c r="D4" s="787"/>
      <c r="E4" s="787"/>
      <c r="F4" s="787"/>
      <c r="G4" s="787"/>
      <c r="H4" s="787"/>
      <c r="I4" s="739"/>
      <c r="K4" s="359" t="s">
        <v>493</v>
      </c>
      <c r="L4" s="71"/>
      <c r="O4" s="729">
        <f>Baucus!I50/Parameters!H14*Parameters!H15</f>
        <v>78.791546883502932</v>
      </c>
      <c r="P4" s="27"/>
      <c r="Q4" s="871"/>
      <c r="R4" s="872"/>
      <c r="AP4" s="7">
        <f>ROW()</f>
        <v>4</v>
      </c>
    </row>
    <row r="5" spans="2:42" ht="14" customHeight="1">
      <c r="B5" s="737"/>
      <c r="C5" s="787"/>
      <c r="D5" s="787"/>
      <c r="E5" s="787"/>
      <c r="F5" s="787"/>
      <c r="G5" s="787"/>
      <c r="H5" s="787"/>
      <c r="I5" s="739"/>
      <c r="K5" s="359" t="s">
        <v>494</v>
      </c>
      <c r="L5" s="71"/>
      <c r="O5" s="361" t="str">
        <f>IF(Summary!J69=1,"By Constant Amount","By Constant Percent")</f>
        <v>By Constant Amount</v>
      </c>
      <c r="P5" s="27"/>
      <c r="Q5" s="873"/>
      <c r="R5" s="874"/>
      <c r="AP5" s="7">
        <f>ROW()</f>
        <v>5</v>
      </c>
    </row>
    <row r="6" spans="2:42" ht="14" customHeight="1">
      <c r="B6" s="777"/>
      <c r="C6" s="788"/>
      <c r="D6" s="788"/>
      <c r="E6" s="788"/>
      <c r="F6" s="788"/>
      <c r="G6" s="788"/>
      <c r="H6" s="788"/>
      <c r="I6" s="778"/>
      <c r="K6" s="359" t="s">
        <v>495</v>
      </c>
      <c r="L6" s="71"/>
      <c r="N6"/>
      <c r="O6" s="360" t="str">
        <f>IF(Summary!$J$69=1,CONCATENATE("$",Summary!$J$71,""),CONCATENATE("",Summary!$J$75*100,"%"))</f>
        <v>$0</v>
      </c>
      <c r="P6" s="27"/>
      <c r="AP6" s="7">
        <f>ROW()</f>
        <v>6</v>
      </c>
    </row>
    <row r="7" spans="2:42" ht="14" customHeight="1" thickBot="1">
      <c r="B7" s="13" t="str">
        <f>CONCATENATE("Note: This worksheet is pre-formatted to print to six pages. Print area extends only to ",AI13, ".")</f>
        <v>Note: This worksheet is pre-formatted to print to six pages. Print area extends only to 2033.</v>
      </c>
      <c r="I7" s="127"/>
      <c r="K7" s="362" t="s">
        <v>496</v>
      </c>
      <c r="L7" s="363"/>
      <c r="M7" s="363"/>
      <c r="N7" s="363"/>
      <c r="O7" s="364" t="str">
        <f>Summary!J79</f>
        <v>Real</v>
      </c>
      <c r="P7" s="27"/>
      <c r="AP7" s="7">
        <f>ROW()</f>
        <v>7</v>
      </c>
    </row>
    <row r="8" spans="2:42" ht="14" customHeight="1">
      <c r="H8" s="53"/>
      <c r="I8" s="53"/>
      <c r="P8" s="27"/>
      <c r="AP8" s="7">
        <f>ROW()</f>
        <v>8</v>
      </c>
    </row>
    <row r="9" spans="2:42" ht="14" customHeight="1">
      <c r="B9" s="826" t="s">
        <v>612</v>
      </c>
      <c r="C9" s="768"/>
      <c r="D9" s="768"/>
      <c r="E9" s="768"/>
      <c r="F9" s="768"/>
      <c r="G9" s="768"/>
      <c r="H9" s="768"/>
      <c r="K9" s="800" t="s">
        <v>87</v>
      </c>
      <c r="L9" s="799" t="s">
        <v>185</v>
      </c>
      <c r="M9" s="799" t="s">
        <v>185</v>
      </c>
      <c r="N9" s="799" t="s">
        <v>185</v>
      </c>
      <c r="O9" s="799" t="s">
        <v>185</v>
      </c>
      <c r="P9" s="799" t="s">
        <v>461</v>
      </c>
      <c r="Q9" s="845" t="s">
        <v>88</v>
      </c>
      <c r="AP9" s="7">
        <f>ROW()</f>
        <v>9</v>
      </c>
    </row>
    <row r="10" spans="2:42" ht="14" customHeight="1">
      <c r="B10" s="768"/>
      <c r="C10" s="768"/>
      <c r="D10" s="768"/>
      <c r="E10" s="768"/>
      <c r="F10" s="768"/>
      <c r="G10" s="768"/>
      <c r="H10" s="768"/>
      <c r="K10" s="897"/>
      <c r="L10" s="827"/>
      <c r="M10" s="827"/>
      <c r="N10" s="827"/>
      <c r="O10" s="827"/>
      <c r="P10" s="827"/>
      <c r="Q10" s="846"/>
      <c r="AP10" s="7">
        <f>ROW()</f>
        <v>10</v>
      </c>
    </row>
    <row r="11" spans="2:42" ht="14" customHeight="1">
      <c r="K11" s="897"/>
      <c r="L11" s="827"/>
      <c r="M11" s="827"/>
      <c r="N11" s="827"/>
      <c r="O11" s="827"/>
      <c r="P11" s="827"/>
      <c r="Q11" s="846"/>
      <c r="AP11" s="7">
        <f>ROW()</f>
        <v>11</v>
      </c>
    </row>
    <row r="12" spans="2:42" ht="14" customHeight="1">
      <c r="B12" s="54" t="s">
        <v>611</v>
      </c>
      <c r="H12" s="53"/>
      <c r="K12" s="898"/>
      <c r="L12" s="827"/>
      <c r="M12" s="827"/>
      <c r="N12" s="827"/>
      <c r="O12" s="827"/>
      <c r="P12" s="827"/>
      <c r="Q12" s="847"/>
      <c r="AP12" s="7">
        <f>ROW()</f>
        <v>12</v>
      </c>
    </row>
    <row r="13" spans="2:42" ht="14" customHeight="1">
      <c r="B13" s="60" t="s">
        <v>610</v>
      </c>
      <c r="I13" s="132">
        <v>2005</v>
      </c>
      <c r="J13" s="132">
        <v>2006</v>
      </c>
      <c r="K13" s="132">
        <v>2007</v>
      </c>
      <c r="L13" s="185">
        <v>2008</v>
      </c>
      <c r="M13" s="185">
        <v>2009</v>
      </c>
      <c r="N13" s="185">
        <v>2010</v>
      </c>
      <c r="O13" s="132">
        <v>2011</v>
      </c>
      <c r="P13" s="132">
        <v>2012</v>
      </c>
      <c r="Q13" s="280">
        <f>Summary!Q116</f>
        <v>2015</v>
      </c>
      <c r="R13" s="12">
        <f t="shared" ref="R13:AM13" si="0">Q13+1</f>
        <v>2016</v>
      </c>
      <c r="S13" s="12">
        <f t="shared" si="0"/>
        <v>2017</v>
      </c>
      <c r="T13" s="12">
        <f t="shared" si="0"/>
        <v>2018</v>
      </c>
      <c r="U13" s="12">
        <f t="shared" si="0"/>
        <v>2019</v>
      </c>
      <c r="V13" s="12">
        <f t="shared" si="0"/>
        <v>2020</v>
      </c>
      <c r="W13" s="12">
        <f t="shared" si="0"/>
        <v>2021</v>
      </c>
      <c r="X13" s="12">
        <f t="shared" si="0"/>
        <v>2022</v>
      </c>
      <c r="Y13" s="12">
        <f t="shared" si="0"/>
        <v>2023</v>
      </c>
      <c r="Z13" s="12">
        <f t="shared" si="0"/>
        <v>2024</v>
      </c>
      <c r="AA13" s="12">
        <f t="shared" si="0"/>
        <v>2025</v>
      </c>
      <c r="AB13" s="12">
        <f t="shared" si="0"/>
        <v>2026</v>
      </c>
      <c r="AC13" s="12">
        <f t="shared" si="0"/>
        <v>2027</v>
      </c>
      <c r="AD13" s="12">
        <f t="shared" si="0"/>
        <v>2028</v>
      </c>
      <c r="AE13" s="12">
        <f t="shared" si="0"/>
        <v>2029</v>
      </c>
      <c r="AF13" s="12">
        <f t="shared" si="0"/>
        <v>2030</v>
      </c>
      <c r="AG13" s="12">
        <f t="shared" si="0"/>
        <v>2031</v>
      </c>
      <c r="AH13" s="12">
        <f t="shared" si="0"/>
        <v>2032</v>
      </c>
      <c r="AI13" s="12">
        <f t="shared" si="0"/>
        <v>2033</v>
      </c>
      <c r="AJ13" s="12">
        <f t="shared" si="0"/>
        <v>2034</v>
      </c>
      <c r="AK13" s="12">
        <f t="shared" si="0"/>
        <v>2035</v>
      </c>
      <c r="AL13" s="12">
        <f t="shared" si="0"/>
        <v>2036</v>
      </c>
      <c r="AM13" s="12">
        <f t="shared" si="0"/>
        <v>2037</v>
      </c>
      <c r="AP13" s="7">
        <f>ROW()</f>
        <v>13</v>
      </c>
    </row>
    <row r="14" spans="2:42" ht="14" customHeight="1">
      <c r="K14" s="12"/>
      <c r="L14" s="184"/>
      <c r="M14" s="184"/>
      <c r="N14" s="184"/>
      <c r="O14" s="162"/>
      <c r="P14" s="281"/>
      <c r="Q14" s="52"/>
      <c r="R14" s="12"/>
      <c r="S14" s="12"/>
      <c r="T14" s="12"/>
      <c r="U14" s="12"/>
      <c r="V14" s="12"/>
      <c r="AP14" s="7">
        <f>ROW()</f>
        <v>14</v>
      </c>
    </row>
    <row r="15" spans="2:42" s="352" customFormat="1" ht="14" customHeight="1">
      <c r="B15" s="352" t="s">
        <v>221</v>
      </c>
      <c r="M15" s="352">
        <f>Summary!L94</f>
        <v>0</v>
      </c>
      <c r="N15" s="352">
        <f>Summary!M94</f>
        <v>0</v>
      </c>
      <c r="O15" s="352">
        <f>Summary!O94</f>
        <v>0</v>
      </c>
      <c r="P15" s="372">
        <f>Summary!P94</f>
        <v>0</v>
      </c>
      <c r="Q15" s="353">
        <f>Summary!Q94</f>
        <v>1</v>
      </c>
      <c r="R15" s="352">
        <f>Summary!R94</f>
        <v>2</v>
      </c>
      <c r="S15" s="352">
        <f>Summary!S94</f>
        <v>3</v>
      </c>
      <c r="T15" s="352">
        <f>Summary!T94</f>
        <v>4</v>
      </c>
      <c r="U15" s="352">
        <f>Summary!U94</f>
        <v>5</v>
      </c>
      <c r="V15" s="352">
        <f>Summary!V94</f>
        <v>6</v>
      </c>
      <c r="W15" s="352">
        <f>Summary!W94</f>
        <v>7</v>
      </c>
      <c r="X15" s="352">
        <f>Summary!X94</f>
        <v>8</v>
      </c>
      <c r="Y15" s="352">
        <f>Summary!Y94</f>
        <v>9</v>
      </c>
      <c r="Z15" s="352">
        <f>Summary!Z94</f>
        <v>10</v>
      </c>
      <c r="AA15" s="352">
        <f>Summary!AA94</f>
        <v>11</v>
      </c>
      <c r="AB15" s="352">
        <f>Summary!AB94</f>
        <v>12</v>
      </c>
      <c r="AC15" s="352">
        <f>Summary!AC94</f>
        <v>13</v>
      </c>
      <c r="AD15" s="352">
        <f>Summary!AD94</f>
        <v>14</v>
      </c>
      <c r="AE15" s="352">
        <f>Summary!AE94</f>
        <v>15</v>
      </c>
      <c r="AF15" s="352">
        <f>Summary!AF94</f>
        <v>16</v>
      </c>
      <c r="AG15" s="352">
        <f>Summary!AG94</f>
        <v>17</v>
      </c>
      <c r="AH15" s="352">
        <f>Summary!AH94</f>
        <v>18</v>
      </c>
      <c r="AI15" s="352">
        <f>Summary!AI94</f>
        <v>19</v>
      </c>
      <c r="AJ15" s="352">
        <f>Summary!AJ94</f>
        <v>20</v>
      </c>
      <c r="AK15" s="352">
        <f>Summary!AK94</f>
        <v>21</v>
      </c>
      <c r="AL15" s="352">
        <f>Summary!AL94</f>
        <v>22</v>
      </c>
      <c r="AM15" s="352">
        <f>Summary!AM94</f>
        <v>23</v>
      </c>
      <c r="AP15" s="355">
        <f>ROW()</f>
        <v>15</v>
      </c>
    </row>
    <row r="16" spans="2:42" ht="14" customHeight="1">
      <c r="B16" s="352" t="str">
        <f>CONCATENATE("Tax in year shown, per ton of CO2 (taken directly from 'Summary' tab, Row ",Summary!AO97, ")")</f>
        <v>Tax in year shown, per ton of CO2 (taken directly from 'Summary' tab, Row 97)</v>
      </c>
      <c r="H16" s="2"/>
      <c r="I16" s="2"/>
      <c r="J16" s="2"/>
      <c r="M16" s="469">
        <f t="shared" ref="M16:O17" si="1">N16</f>
        <v>0</v>
      </c>
      <c r="N16" s="469">
        <f t="shared" si="1"/>
        <v>0</v>
      </c>
      <c r="O16" s="469">
        <f t="shared" si="1"/>
        <v>0</v>
      </c>
      <c r="P16" s="470">
        <f>Summary!P97</f>
        <v>0</v>
      </c>
      <c r="Q16" s="469">
        <f>Summary!Q97*Baucus!$I$50/Baucus!$E$50</f>
        <v>78.791546883502917</v>
      </c>
      <c r="R16" s="469">
        <f>Summary!R97*Baucus!$I$50/Baucus!$E$50</f>
        <v>80.079229978678185</v>
      </c>
      <c r="S16" s="469">
        <f>Summary!S97*Baucus!$I$50/Baucus!$E$50</f>
        <v>81.387957561735547</v>
      </c>
      <c r="T16" s="469">
        <f>Summary!T97*Baucus!$I$50/Baucus!$E$50</f>
        <v>82.718073560829239</v>
      </c>
      <c r="U16" s="469">
        <f>Summary!U97*Baucus!$I$50/Baucus!$E$50</f>
        <v>84.069927524900166</v>
      </c>
      <c r="V16" s="469">
        <f>Summary!V97*Baucus!$I$50/Baucus!$E$50</f>
        <v>85.443874715535799</v>
      </c>
      <c r="W16" s="469">
        <f>Summary!W97*Baucus!$I$50/Baucus!$E$50</f>
        <v>86.840276200331431</v>
      </c>
      <c r="X16" s="469">
        <f>Summary!X97*Baucus!$I$50/Baucus!$E$50</f>
        <v>88.259498947777345</v>
      </c>
      <c r="Y16" s="469">
        <f>Summary!Y97*Baucus!$I$50/Baucus!$E$50</f>
        <v>89.701915923696447</v>
      </c>
      <c r="Z16" s="469">
        <f>Summary!Z97*Baucus!$I$50/Baucus!$E$50</f>
        <v>91.167906189258332</v>
      </c>
      <c r="AA16" s="469">
        <f>Summary!AA97*Baucus!$I$50/Baucus!$E$50</f>
        <v>92.657855000594722</v>
      </c>
      <c r="AB16" s="469">
        <f>Summary!AB97*Baucus!$I$50/Baucus!$E$50</f>
        <v>94.172153910043463</v>
      </c>
      <c r="AC16" s="469">
        <f>Summary!AC97*Baucus!$I$50/Baucus!$E$50</f>
        <v>95.711200869046564</v>
      </c>
      <c r="AD16" s="469">
        <f>Summary!AD97*Baucus!$I$50/Baucus!$E$50</f>
        <v>97.275400332730413</v>
      </c>
      <c r="AE16" s="469">
        <f>Summary!AE97*Baucus!$I$50/Baucus!$E$50</f>
        <v>98.865163366194707</v>
      </c>
      <c r="AF16" s="469">
        <f>Summary!AF97*Baucus!$I$50/Baucus!$E$50</f>
        <v>100.48090775253885</v>
      </c>
      <c r="AG16" s="469">
        <f>Summary!AG97*Baucus!$I$50/Baucus!$E$50</f>
        <v>102.12305810265336</v>
      </c>
      <c r="AH16" s="469">
        <f>Summary!AH97*Baucus!$I$50/Baucus!$E$50</f>
        <v>103.7920459668061</v>
      </c>
      <c r="AI16" s="469">
        <f>Summary!AI97*Baucus!$I$50/Baucus!$E$50</f>
        <v>105.48830994805172</v>
      </c>
      <c r="AJ16" s="469">
        <f>Summary!AJ97*Baucus!$I$50/Baucus!$E$50</f>
        <v>107.21229581749473</v>
      </c>
      <c r="AK16" s="469">
        <f>Summary!AK97*Baucus!$I$50/Baucus!$E$50</f>
        <v>108.96445663143633</v>
      </c>
      <c r="AL16" s="469">
        <f>Summary!AL97*Baucus!$I$50/Baucus!$E$50</f>
        <v>110.74525285043576</v>
      </c>
      <c r="AM16" s="469">
        <f>Summary!AM97*Baucus!$I$50/Baucus!$E$50</f>
        <v>112.55515246031734</v>
      </c>
      <c r="AN16" s="76"/>
      <c r="AO16" s="71"/>
      <c r="AP16" s="6">
        <f>ROW()</f>
        <v>16</v>
      </c>
    </row>
    <row r="17" spans="2:42" s="32" customFormat="1" ht="14" customHeight="1">
      <c r="B17" s="352" t="s">
        <v>613</v>
      </c>
      <c r="H17" s="18"/>
      <c r="I17" s="18"/>
      <c r="J17" s="18"/>
      <c r="M17" s="469">
        <f t="shared" si="1"/>
        <v>0</v>
      </c>
      <c r="N17" s="469">
        <f t="shared" si="1"/>
        <v>0</v>
      </c>
      <c r="O17" s="469">
        <f t="shared" si="1"/>
        <v>0</v>
      </c>
      <c r="P17" s="470">
        <f>P16*Parameters!$H$14/2000</f>
        <v>0</v>
      </c>
      <c r="Q17" s="469">
        <f>Q16*Parameters!$H$14/2000</f>
        <v>86.867680439061971</v>
      </c>
      <c r="R17" s="469">
        <f>R16*Parameters!$H$14/2000</f>
        <v>88.287351051492706</v>
      </c>
      <c r="S17" s="469">
        <f>S16*Parameters!$H$14/2000</f>
        <v>89.730223211813438</v>
      </c>
      <c r="T17" s="469">
        <f>T16*Parameters!$H$14/2000</f>
        <v>91.19667610081423</v>
      </c>
      <c r="U17" s="469">
        <f>U16*Parameters!$H$14/2000</f>
        <v>92.687095096202441</v>
      </c>
      <c r="V17" s="469">
        <f>V16*Parameters!$H$14/2000</f>
        <v>94.201871873878218</v>
      </c>
      <c r="W17" s="469">
        <f>W16*Parameters!$H$14/2000</f>
        <v>95.741404510865394</v>
      </c>
      <c r="X17" s="469">
        <f>X16*Parameters!$H$14/2000</f>
        <v>97.306097589924519</v>
      </c>
      <c r="Y17" s="469">
        <f>Y16*Parameters!$H$14/2000</f>
        <v>98.896362305875329</v>
      </c>
      <c r="Z17" s="469">
        <f>Z16*Parameters!$H$14/2000</f>
        <v>100.51261657365731</v>
      </c>
      <c r="AA17" s="469">
        <f>AA16*Parameters!$H$14/2000</f>
        <v>102.15528513815568</v>
      </c>
      <c r="AB17" s="469">
        <f>AB16*Parameters!$H$14/2000</f>
        <v>103.82479968582291</v>
      </c>
      <c r="AC17" s="469">
        <f>AC16*Parameters!$H$14/2000</f>
        <v>105.52159895812385</v>
      </c>
      <c r="AD17" s="469">
        <f>AD16*Parameters!$H$14/2000</f>
        <v>107.24612886683528</v>
      </c>
      <c r="AE17" s="469">
        <f>AE16*Parameters!$H$14/2000</f>
        <v>108.99884261122966</v>
      </c>
      <c r="AF17" s="469">
        <f>AF16*Parameters!$H$14/2000</f>
        <v>110.78020079717409</v>
      </c>
      <c r="AG17" s="469">
        <f>AG16*Parameters!$H$14/2000</f>
        <v>112.59067155817533</v>
      </c>
      <c r="AH17" s="469">
        <f>AH16*Parameters!$H$14/2000</f>
        <v>114.43073067840372</v>
      </c>
      <c r="AI17" s="469">
        <f>AI16*Parameters!$H$14/2000</f>
        <v>116.30086171772702</v>
      </c>
      <c r="AJ17" s="469">
        <f>AJ16*Parameters!$H$14/2000</f>
        <v>118.20155613878794</v>
      </c>
      <c r="AK17" s="469">
        <f>AK16*Parameters!$H$14/2000</f>
        <v>120.13331343615856</v>
      </c>
      <c r="AL17" s="469">
        <f>AL16*Parameters!$H$14/2000</f>
        <v>122.09664126760543</v>
      </c>
      <c r="AM17" s="469">
        <f>AM16*Parameters!$H$14/2000</f>
        <v>124.09205558749987</v>
      </c>
      <c r="AP17" s="88">
        <f>ROW()</f>
        <v>17</v>
      </c>
    </row>
    <row r="18" spans="2:42" s="32" customFormat="1" ht="14" customHeight="1">
      <c r="B18" s="352" t="s">
        <v>730</v>
      </c>
      <c r="H18" s="18"/>
      <c r="I18" s="18"/>
      <c r="J18" s="18"/>
      <c r="M18" s="523">
        <f>M16*M65*(1/Parameters!$H$15)</f>
        <v>0</v>
      </c>
      <c r="N18" s="523">
        <f>N16*N65*(1/Parameters!$H$15)</f>
        <v>0</v>
      </c>
      <c r="O18" s="523">
        <f>O16*O65*(1/Parameters!$H$15)</f>
        <v>0</v>
      </c>
      <c r="P18" s="470">
        <f>P16*P65*(1/Parameters!$H$15)</f>
        <v>0</v>
      </c>
      <c r="Q18" s="523">
        <f>Q16*Q65*(1/Parameters!$H$15)</f>
        <v>0.78769141988791103</v>
      </c>
      <c r="R18" s="523">
        <f>R16*R65*(1/Parameters!$H$15)</f>
        <v>0.80061134977092763</v>
      </c>
      <c r="S18" s="469">
        <f>S16*S65*(1/Parameters!$H$15)</f>
        <v>0.81374314150119131</v>
      </c>
      <c r="T18" s="469">
        <f>T16*T65*(1/Parameters!$H$15)</f>
        <v>0.82709026837416699</v>
      </c>
      <c r="U18" s="469">
        <f>U16*U65*(1/Parameters!$H$15)</f>
        <v>0.84065626061442644</v>
      </c>
      <c r="V18" s="469">
        <f>V16*V65*(1/Parameters!$H$15)</f>
        <v>0.85444470630855207</v>
      </c>
      <c r="W18" s="469">
        <f>W16*W65*(1/Parameters!$H$15)</f>
        <v>0.86845925235332699</v>
      </c>
      <c r="X18" s="469">
        <f>X16*X65*(1/Parameters!$H$15)</f>
        <v>0.88270360541946036</v>
      </c>
      <c r="Y18" s="469">
        <f>Y16*Y65*(1/Parameters!$H$15)</f>
        <v>0.89718153293110037</v>
      </c>
      <c r="Z18" s="469">
        <f>Z16*Z65*(1/Parameters!$H$15)</f>
        <v>0.91189686406139947</v>
      </c>
      <c r="AA18" s="469">
        <f>AA16*AA65*(1/Parameters!$H$15)</f>
        <v>0.92685349074438506</v>
      </c>
      <c r="AB18" s="469">
        <f>AB16*AB65*(1/Parameters!$H$15)</f>
        <v>0.94205536870341433</v>
      </c>
      <c r="AC18" s="469">
        <f>AC16*AC65*(1/Parameters!$H$15)</f>
        <v>0.9575065184964735</v>
      </c>
      <c r="AD18" s="469">
        <f>AD16*AD65*(1/Parameters!$H$15)</f>
        <v>0.97321102657860803</v>
      </c>
      <c r="AE18" s="469">
        <f>AE16*AE65*(1/Parameters!$H$15)</f>
        <v>0.98917304638175485</v>
      </c>
      <c r="AF18" s="469">
        <f>AF16*AF65*(1/Parameters!$H$15)</f>
        <v>1.0053967994122703</v>
      </c>
      <c r="AG18" s="469">
        <f>AG16*AG65*(1/Parameters!$H$15)</f>
        <v>1.0218865763664342</v>
      </c>
      <c r="AH18" s="469">
        <f>AH16*AH65*(1/Parameters!$H$15)</f>
        <v>1.0386467382642364</v>
      </c>
      <c r="AI18" s="469">
        <f>AI16*AI65*(1/Parameters!$H$15)</f>
        <v>1.0556817176017315</v>
      </c>
      <c r="AJ18" s="469">
        <f>AJ16*AJ65*(1/Parameters!$H$15)</f>
        <v>1.072996019522279</v>
      </c>
      <c r="AK18" s="469">
        <f>AK16*AK65*(1/Parameters!$H$15)</f>
        <v>1.0905942230069692</v>
      </c>
      <c r="AL18" s="469">
        <f>AL16*AL65*(1/Parameters!$H$15)</f>
        <v>1.1084809820845525</v>
      </c>
      <c r="AM18" s="469">
        <f>AM16*AM65*(1/Parameters!$H$15)</f>
        <v>1.1266610270611928</v>
      </c>
      <c r="AP18" s="7">
        <f>ROW()</f>
        <v>18</v>
      </c>
    </row>
    <row r="19" spans="2:42" ht="14" customHeight="1">
      <c r="B19" s="352" t="s">
        <v>477</v>
      </c>
      <c r="K19" s="345">
        <f>Summary!J83*IF(Summary!D89="YES",1,0)/100</f>
        <v>0</v>
      </c>
      <c r="L19" s="71"/>
      <c r="M19" s="469">
        <v>0</v>
      </c>
      <c r="N19" s="469">
        <v>0</v>
      </c>
      <c r="O19" s="469">
        <v>0</v>
      </c>
      <c r="P19" s="470">
        <v>0</v>
      </c>
      <c r="Q19" s="469">
        <f>K19</f>
        <v>0</v>
      </c>
      <c r="R19" s="469">
        <f>$Q$19*(1+IF(Summary!$J$69=2,Summary!$J$75,IF(Summary!$J$79="Real",AEO!$N$18-1,0)))^(R13-$Q13)</f>
        <v>0</v>
      </c>
      <c r="S19" s="469">
        <f>$Q$19*(1+IF(Summary!$J$69=2,Summary!$J$75,IF(Summary!$J$79="Real",AEO!$N$18-1,0)))^(S13-$Q13)</f>
        <v>0</v>
      </c>
      <c r="T19" s="469">
        <f>$Q$19*(1+IF(Summary!$J$69=2,Summary!$J$75,IF(Summary!$J$79="Real",AEO!$N$18-1,0)))^(T13-$Q13)</f>
        <v>0</v>
      </c>
      <c r="U19" s="469">
        <f>$Q$19*(1+IF(Summary!$J$69=2,Summary!$J$75,IF(Summary!$J$79="Real",AEO!$N$18-1,0)))^(U13-$Q13)</f>
        <v>0</v>
      </c>
      <c r="V19" s="469">
        <f>$Q$19*(1+IF(Summary!$J$69=2,Summary!$J$75,IF(Summary!$J$79="Real",AEO!$N$18-1,0)))^(V13-$Q13)</f>
        <v>0</v>
      </c>
      <c r="W19" s="469">
        <f>$Q$19*(1+IF(Summary!$J$69=2,Summary!$J$75,IF(Summary!$J$79="Real",AEO!$N$18-1,0)))^(W13-$Q13)</f>
        <v>0</v>
      </c>
      <c r="X19" s="469">
        <f>$Q$19*(1+IF(Summary!$J$69=2,Summary!$J$75,IF(Summary!$J$79="Real",AEO!$N$18-1,0)))^(X13-$Q13)</f>
        <v>0</v>
      </c>
      <c r="Y19" s="469">
        <f>$Q$19*(1+IF(Summary!$J$69=2,Summary!$J$75,IF(Summary!$J$79="Real",AEO!$N$18-1,0)))^(Y13-$Q13)</f>
        <v>0</v>
      </c>
      <c r="Z19" s="469">
        <f>$Q$19*(1+IF(Summary!$J$69=2,Summary!$J$75,IF(Summary!$J$79="Real",AEO!$N$18-1,0)))^(Z13-$Q13)</f>
        <v>0</v>
      </c>
      <c r="AA19" s="469">
        <f>$Q$19*(1+IF(Summary!$J$69=2,Summary!$J$75,IF(Summary!$J$79="Real",AEO!$N$18-1,0)))^(AA13-$Q13)</f>
        <v>0</v>
      </c>
      <c r="AB19" s="469">
        <f>$Q$19*(1+IF(Summary!$J$69=2,Summary!$J$75,IF(Summary!$J$79="Real",AEO!$N$18-1,0)))^(AB13-$Q13)</f>
        <v>0</v>
      </c>
      <c r="AC19" s="469">
        <f>$Q$19*(1+IF(Summary!$J$69=2,Summary!$J$75,IF(Summary!$J$79="Real",AEO!$N$18-1,0)))^(AC13-$Q13)</f>
        <v>0</v>
      </c>
      <c r="AD19" s="469">
        <f>$Q$19*(1+IF(Summary!$J$69=2,Summary!$J$75,IF(Summary!$J$79="Real",AEO!$N$18-1,0)))^(AD13-$Q13)</f>
        <v>0</v>
      </c>
      <c r="AE19" s="469">
        <f>$Q$19*(1+IF(Summary!$J$69=2,Summary!$J$75,IF(Summary!$J$79="Real",AEO!$N$18-1,0)))^(AE13-$Q13)</f>
        <v>0</v>
      </c>
      <c r="AF19" s="469">
        <f>$Q$19*(1+IF(Summary!$J$69=2,Summary!$J$75,IF(Summary!$J$79="Real",AEO!$N$18-1,0)))^(AF13-$Q13)</f>
        <v>0</v>
      </c>
      <c r="AG19" s="469">
        <f>$Q$19*(1+IF(Summary!$J$69=2,Summary!$J$75,IF(Summary!$J$79="Real",AEO!$N$18-1,0)))^(AG13-$Q13)</f>
        <v>0</v>
      </c>
      <c r="AH19" s="469">
        <f>$Q$19*(1+IF(Summary!$J$69=2,Summary!$J$75,IF(Summary!$J$79="Real",AEO!$N$18-1,0)))^(AH13-$Q13)</f>
        <v>0</v>
      </c>
      <c r="AI19" s="469">
        <f>$Q$19*(1+IF(Summary!$J$69=2,Summary!$J$75,IF(Summary!$J$79="Real",AEO!$N$18-1,0)))^(AI13-$Q13)</f>
        <v>0</v>
      </c>
      <c r="AJ19" s="469">
        <f>$Q$19*(1+IF(Summary!$J$69=2,Summary!$J$75,IF(Summary!$J$79="Real",AEO!$N$18-1,0)))^(AJ13-$Q13)</f>
        <v>0</v>
      </c>
      <c r="AK19" s="469">
        <f>$Q$19*(1+IF(Summary!$J$69=2,Summary!$J$75,IF(Summary!$J$79="Real",AEO!$N$18-1,0)))^(AK13-$Q13)</f>
        <v>0</v>
      </c>
      <c r="AL19" s="469">
        <f>$Q$19*(1+IF(Summary!$J$69=2,Summary!$J$75,IF(Summary!$J$79="Real",AEO!$N$18-1,0)))^(AL13-$Q13)</f>
        <v>0</v>
      </c>
      <c r="AM19" s="469">
        <f>$Q$19*(1+IF(Summary!$J$69=2,Summary!$J$75,IF(Summary!$J$79="Real",AEO!$N$18-1,0)))^(AM13-$Q13)</f>
        <v>0</v>
      </c>
      <c r="AN19" s="328"/>
      <c r="AO19" s="71"/>
      <c r="AP19" s="7">
        <f>ROW()</f>
        <v>19</v>
      </c>
    </row>
    <row r="20" spans="2:42" ht="14" customHeight="1">
      <c r="B20" s="352" t="s">
        <v>478</v>
      </c>
      <c r="K20" s="330"/>
      <c r="L20" s="331"/>
      <c r="M20" s="469">
        <f>M19*Parameters!$H$15/M65</f>
        <v>0</v>
      </c>
      <c r="N20" s="469">
        <f>N19*Parameters!$H$15/N65</f>
        <v>0</v>
      </c>
      <c r="O20" s="469">
        <f>O19*Parameters!$H$15/O65</f>
        <v>0</v>
      </c>
      <c r="P20" s="470">
        <f>P19*Parameters!$H$15/P65</f>
        <v>0</v>
      </c>
      <c r="Q20" s="469">
        <f>Q19*Parameters!$H$15/Q65</f>
        <v>0</v>
      </c>
      <c r="R20" s="469">
        <f>R19*Parameters!$H$15/R65</f>
        <v>0</v>
      </c>
      <c r="S20" s="469">
        <f>S19*Parameters!$H$15/S65</f>
        <v>0</v>
      </c>
      <c r="T20" s="469">
        <f>T19*Parameters!$H$15/T65</f>
        <v>0</v>
      </c>
      <c r="U20" s="469">
        <f>U19*Parameters!$H$15/U65</f>
        <v>0</v>
      </c>
      <c r="V20" s="469">
        <f>V19*Parameters!$H$15/V65</f>
        <v>0</v>
      </c>
      <c r="W20" s="469">
        <f>W19*Parameters!$H$15/W65</f>
        <v>0</v>
      </c>
      <c r="X20" s="469">
        <f>X19*Parameters!$H$15/X65</f>
        <v>0</v>
      </c>
      <c r="Y20" s="469">
        <f>Y19*Parameters!$H$15/Y65</f>
        <v>0</v>
      </c>
      <c r="Z20" s="469">
        <f>Z19*Parameters!$H$15/Z65</f>
        <v>0</v>
      </c>
      <c r="AA20" s="469">
        <f>AA19*Parameters!$H$15/AA65</f>
        <v>0</v>
      </c>
      <c r="AB20" s="469">
        <f>AB19*Parameters!$H$15/AB65</f>
        <v>0</v>
      </c>
      <c r="AC20" s="469">
        <f>AC19*Parameters!$H$15/AC65</f>
        <v>0</v>
      </c>
      <c r="AD20" s="469">
        <f>AD19*Parameters!$H$15/AD65</f>
        <v>0</v>
      </c>
      <c r="AE20" s="469">
        <f>AE19*Parameters!$H$15/AE65</f>
        <v>0</v>
      </c>
      <c r="AF20" s="469">
        <f>AF19*Parameters!$H$15/AF65</f>
        <v>0</v>
      </c>
      <c r="AG20" s="469">
        <f>AG19*Parameters!$H$15/AG65</f>
        <v>0</v>
      </c>
      <c r="AH20" s="469">
        <f>AH19*Parameters!$H$15/AH65</f>
        <v>0</v>
      </c>
      <c r="AI20" s="469">
        <f>AI19*Parameters!$H$15/AI65</f>
        <v>0</v>
      </c>
      <c r="AJ20" s="469">
        <f>AJ19*Parameters!$H$15/AJ65</f>
        <v>0</v>
      </c>
      <c r="AK20" s="469">
        <f>AK19*Parameters!$H$15/AK65</f>
        <v>0</v>
      </c>
      <c r="AL20" s="469">
        <f>AL19*Parameters!$H$15/AL65</f>
        <v>0</v>
      </c>
      <c r="AM20" s="469">
        <f>AM19*Parameters!$H$15/AM65</f>
        <v>0</v>
      </c>
      <c r="AN20" s="328"/>
      <c r="AO20" s="71"/>
      <c r="AP20" s="7">
        <f>ROW()</f>
        <v>20</v>
      </c>
    </row>
    <row r="21" spans="2:42" ht="14" customHeight="1">
      <c r="B21" s="352" t="s">
        <v>731</v>
      </c>
      <c r="J21" s="330"/>
      <c r="K21" s="331"/>
      <c r="L21" s="71"/>
      <c r="M21" s="469">
        <f t="shared" ref="M21:AM21" si="2">M18+M19</f>
        <v>0</v>
      </c>
      <c r="N21" s="469">
        <f t="shared" si="2"/>
        <v>0</v>
      </c>
      <c r="O21" s="469">
        <f t="shared" si="2"/>
        <v>0</v>
      </c>
      <c r="P21" s="470">
        <f t="shared" si="2"/>
        <v>0</v>
      </c>
      <c r="Q21" s="469">
        <f t="shared" si="2"/>
        <v>0.78769141988791103</v>
      </c>
      <c r="R21" s="469">
        <f t="shared" si="2"/>
        <v>0.80061134977092763</v>
      </c>
      <c r="S21" s="469">
        <f t="shared" si="2"/>
        <v>0.81374314150119131</v>
      </c>
      <c r="T21" s="469">
        <f t="shared" si="2"/>
        <v>0.82709026837416699</v>
      </c>
      <c r="U21" s="469">
        <f t="shared" si="2"/>
        <v>0.84065626061442644</v>
      </c>
      <c r="V21" s="469">
        <f t="shared" si="2"/>
        <v>0.85444470630855207</v>
      </c>
      <c r="W21" s="469">
        <f t="shared" si="2"/>
        <v>0.86845925235332699</v>
      </c>
      <c r="X21" s="469">
        <f t="shared" si="2"/>
        <v>0.88270360541946036</v>
      </c>
      <c r="Y21" s="469">
        <f t="shared" si="2"/>
        <v>0.89718153293110037</v>
      </c>
      <c r="Z21" s="469">
        <f t="shared" si="2"/>
        <v>0.91189686406139947</v>
      </c>
      <c r="AA21" s="469">
        <f t="shared" si="2"/>
        <v>0.92685349074438506</v>
      </c>
      <c r="AB21" s="469">
        <f t="shared" si="2"/>
        <v>0.94205536870341433</v>
      </c>
      <c r="AC21" s="469">
        <f t="shared" si="2"/>
        <v>0.9575065184964735</v>
      </c>
      <c r="AD21" s="469">
        <f t="shared" si="2"/>
        <v>0.97321102657860803</v>
      </c>
      <c r="AE21" s="469">
        <f t="shared" si="2"/>
        <v>0.98917304638175485</v>
      </c>
      <c r="AF21" s="469">
        <f t="shared" si="2"/>
        <v>1.0053967994122703</v>
      </c>
      <c r="AG21" s="469">
        <f t="shared" si="2"/>
        <v>1.0218865763664342</v>
      </c>
      <c r="AH21" s="469">
        <f t="shared" si="2"/>
        <v>1.0386467382642364</v>
      </c>
      <c r="AI21" s="469">
        <f t="shared" si="2"/>
        <v>1.0556817176017315</v>
      </c>
      <c r="AJ21" s="469">
        <f t="shared" si="2"/>
        <v>1.072996019522279</v>
      </c>
      <c r="AK21" s="469">
        <f t="shared" si="2"/>
        <v>1.0905942230069692</v>
      </c>
      <c r="AL21" s="469">
        <f t="shared" si="2"/>
        <v>1.1084809820845525</v>
      </c>
      <c r="AM21" s="469">
        <f t="shared" si="2"/>
        <v>1.1266610270611928</v>
      </c>
      <c r="AN21" s="328"/>
      <c r="AO21" s="71"/>
      <c r="AP21" s="7">
        <f>ROW()</f>
        <v>21</v>
      </c>
    </row>
    <row r="22" spans="2:42" ht="14" customHeight="1">
      <c r="B22" s="352" t="s">
        <v>476</v>
      </c>
      <c r="L22" s="71"/>
      <c r="M22" s="469">
        <f t="shared" ref="M22:AM22" si="3">M20+M16</f>
        <v>0</v>
      </c>
      <c r="N22" s="469">
        <f t="shared" si="3"/>
        <v>0</v>
      </c>
      <c r="O22" s="469">
        <f t="shared" si="3"/>
        <v>0</v>
      </c>
      <c r="P22" s="470">
        <f t="shared" si="3"/>
        <v>0</v>
      </c>
      <c r="Q22" s="469">
        <f t="shared" si="3"/>
        <v>78.791546883502917</v>
      </c>
      <c r="R22" s="469">
        <f t="shared" si="3"/>
        <v>80.079229978678185</v>
      </c>
      <c r="S22" s="469">
        <f t="shared" si="3"/>
        <v>81.387957561735547</v>
      </c>
      <c r="T22" s="469">
        <f t="shared" si="3"/>
        <v>82.718073560829239</v>
      </c>
      <c r="U22" s="469">
        <f t="shared" si="3"/>
        <v>84.069927524900166</v>
      </c>
      <c r="V22" s="469">
        <f t="shared" si="3"/>
        <v>85.443874715535799</v>
      </c>
      <c r="W22" s="469">
        <f t="shared" si="3"/>
        <v>86.840276200331431</v>
      </c>
      <c r="X22" s="469">
        <f t="shared" si="3"/>
        <v>88.259498947777345</v>
      </c>
      <c r="Y22" s="469">
        <f t="shared" si="3"/>
        <v>89.701915923696447</v>
      </c>
      <c r="Z22" s="469">
        <f t="shared" si="3"/>
        <v>91.167906189258332</v>
      </c>
      <c r="AA22" s="469">
        <f t="shared" si="3"/>
        <v>92.657855000594722</v>
      </c>
      <c r="AB22" s="469">
        <f t="shared" si="3"/>
        <v>94.172153910043463</v>
      </c>
      <c r="AC22" s="469">
        <f t="shared" si="3"/>
        <v>95.711200869046564</v>
      </c>
      <c r="AD22" s="469">
        <f t="shared" si="3"/>
        <v>97.275400332730413</v>
      </c>
      <c r="AE22" s="469">
        <f t="shared" si="3"/>
        <v>98.865163366194707</v>
      </c>
      <c r="AF22" s="469">
        <f t="shared" si="3"/>
        <v>100.48090775253885</v>
      </c>
      <c r="AG22" s="469">
        <f t="shared" si="3"/>
        <v>102.12305810265336</v>
      </c>
      <c r="AH22" s="469">
        <f t="shared" si="3"/>
        <v>103.7920459668061</v>
      </c>
      <c r="AI22" s="469">
        <f t="shared" si="3"/>
        <v>105.48830994805172</v>
      </c>
      <c r="AJ22" s="469">
        <f t="shared" si="3"/>
        <v>107.21229581749473</v>
      </c>
      <c r="AK22" s="469">
        <f t="shared" si="3"/>
        <v>108.96445663143633</v>
      </c>
      <c r="AL22" s="469">
        <f t="shared" si="3"/>
        <v>110.74525285043576</v>
      </c>
      <c r="AM22" s="469">
        <f t="shared" si="3"/>
        <v>112.55515246031734</v>
      </c>
      <c r="AP22" s="7">
        <f>ROW()</f>
        <v>22</v>
      </c>
    </row>
    <row r="23" spans="2:42" ht="14" customHeight="1">
      <c r="K23" s="12"/>
      <c r="L23" s="162"/>
      <c r="M23"/>
      <c r="N23"/>
      <c r="O23"/>
      <c r="P23" s="281"/>
      <c r="Q23" s="52"/>
      <c r="R23" s="12"/>
      <c r="S23" s="12"/>
      <c r="T23" s="12"/>
      <c r="U23" s="12"/>
      <c r="V23" s="12"/>
      <c r="AP23" s="7">
        <f>ROW()</f>
        <v>23</v>
      </c>
    </row>
    <row r="24" spans="2:42" ht="14" customHeight="1">
      <c r="B24" s="8" t="s">
        <v>703</v>
      </c>
      <c r="I24" s="12">
        <v>2005</v>
      </c>
      <c r="J24" s="12">
        <v>2006</v>
      </c>
      <c r="K24" s="12">
        <f t="shared" ref="K24:P24" si="4">K$13</f>
        <v>2007</v>
      </c>
      <c r="L24" s="12">
        <f t="shared" si="4"/>
        <v>2008</v>
      </c>
      <c r="M24" s="12">
        <f t="shared" si="4"/>
        <v>2009</v>
      </c>
      <c r="N24" s="12">
        <f t="shared" si="4"/>
        <v>2010</v>
      </c>
      <c r="O24" s="12">
        <f t="shared" si="4"/>
        <v>2011</v>
      </c>
      <c r="P24" s="434">
        <f t="shared" si="4"/>
        <v>2012</v>
      </c>
      <c r="AP24" s="7">
        <f>ROW()</f>
        <v>24</v>
      </c>
    </row>
    <row r="25" spans="2:42" ht="14" customHeight="1">
      <c r="B25" s="32" t="s">
        <v>200</v>
      </c>
      <c r="H25" s="102" t="str">
        <f>CONCATENATE("From 'Energy' tab, Row ",Energy!Q33, ".")</f>
        <v>From 'Energy' tab, Row 33.</v>
      </c>
      <c r="I25" s="393">
        <f>Energy!G33</f>
        <v>85.794210000000007</v>
      </c>
      <c r="J25" s="393">
        <f t="shared" ref="J25:J31" si="5">AVERAGE(I25,K25)</f>
        <v>86.002790000000005</v>
      </c>
      <c r="K25" s="393">
        <f>Energy!I33</f>
        <v>86.211370000000002</v>
      </c>
      <c r="L25" s="393">
        <f>Energy!J33</f>
        <v>83.548839999999998</v>
      </c>
      <c r="M25" s="393">
        <f>Energy!K33</f>
        <v>78.487589999999997</v>
      </c>
      <c r="N25" s="393">
        <f>Energy!L33</f>
        <v>81.369100000000003</v>
      </c>
      <c r="O25" s="393">
        <f>Energy!M33</f>
        <v>79.999020000000002</v>
      </c>
      <c r="P25" s="435">
        <f>Energy!N33</f>
        <v>78.017212000000001</v>
      </c>
      <c r="AP25" s="7">
        <f>ROW()</f>
        <v>25</v>
      </c>
    </row>
    <row r="26" spans="2:42" ht="14" customHeight="1">
      <c r="B26" s="32" t="s">
        <v>204</v>
      </c>
      <c r="G26" s="838" t="str">
        <f>CONCATENATE("From 'Energy' tab, Rows ",Energy!Q48, "-",Energy!Q53, ". Note that last row (Other) is also Row ",AP25, " less sum of Rows ",AP26, "-",AP29, " (not Row ",AP30, ".)")</f>
        <v>From 'Energy' tab, Rows 48-53. Note that last row (Other) is also Row 25 less sum of Rows 26-29 (not Row 30.)</v>
      </c>
      <c r="H26" s="892"/>
      <c r="I26" s="393">
        <f>Energy!G48</f>
        <v>32.047638079999999</v>
      </c>
      <c r="J26" s="393">
        <f t="shared" si="5"/>
        <v>32.283055129999994</v>
      </c>
      <c r="K26" s="393">
        <f>Energy!I48</f>
        <v>32.518472179999996</v>
      </c>
      <c r="L26" s="393">
        <f>Energy!J48</f>
        <v>31.889113550000001</v>
      </c>
      <c r="M26" s="393">
        <f>Energy!K48</f>
        <v>29.66721107</v>
      </c>
      <c r="N26" s="393">
        <f>Energy!L48</f>
        <v>31.230942919999997</v>
      </c>
      <c r="O26" s="393">
        <f>Energy!M48</f>
        <v>30.388527060000001</v>
      </c>
      <c r="P26" s="435">
        <f>Energy!N48</f>
        <v>29.601101647</v>
      </c>
      <c r="AP26" s="7">
        <f>ROW()</f>
        <v>26</v>
      </c>
    </row>
    <row r="27" spans="2:42" ht="14" customHeight="1">
      <c r="B27" s="32" t="s">
        <v>702</v>
      </c>
      <c r="G27" s="893"/>
      <c r="H27" s="894"/>
      <c r="I27" s="393">
        <f>Energy!G49</f>
        <v>16.702960298685202</v>
      </c>
      <c r="J27" s="393">
        <f t="shared" si="5"/>
        <v>16.487392780701327</v>
      </c>
      <c r="K27" s="393">
        <f>Energy!I49</f>
        <v>16.271825262717453</v>
      </c>
      <c r="L27" s="393">
        <f>Energy!J49</f>
        <v>15.485637844188032</v>
      </c>
      <c r="M27" s="393">
        <f>Energy!K49</f>
        <v>15.543404303255601</v>
      </c>
      <c r="N27" s="393">
        <f>M27*'Personal Ground Travel'!N31/'Personal Ground Travel'!M31</f>
        <v>15.626802476111626</v>
      </c>
      <c r="O27" s="393">
        <f>Energy!M49</f>
        <v>15.147492717938814</v>
      </c>
      <c r="P27" s="435">
        <f>Energy!N49</f>
        <v>15.080003823240817</v>
      </c>
      <c r="AP27" s="7">
        <f>ROW()</f>
        <v>27</v>
      </c>
    </row>
    <row r="28" spans="2:42" ht="14" customHeight="1">
      <c r="B28" s="32" t="s">
        <v>209</v>
      </c>
      <c r="G28" s="893"/>
      <c r="H28" s="894"/>
      <c r="I28" s="393">
        <f>Energy!G50</f>
        <v>7.1006364945349816</v>
      </c>
      <c r="J28" s="393">
        <f t="shared" si="5"/>
        <v>7.4226500191672979</v>
      </c>
      <c r="K28" s="393">
        <f>Energy!I50</f>
        <v>7.7446635437996143</v>
      </c>
      <c r="L28" s="393">
        <f>Energy!J50</f>
        <v>7.3089581404916162</v>
      </c>
      <c r="M28" s="393">
        <f>Energy!K50</f>
        <v>6.5682589548680257</v>
      </c>
      <c r="N28" s="393">
        <f>M28*Freight!N31/Freight!M31</f>
        <v>6.8743790246357852</v>
      </c>
      <c r="O28" s="393">
        <f>Energy!M50</f>
        <v>6.9767327704692734</v>
      </c>
      <c r="P28" s="435">
        <f>Energy!N50</f>
        <v>6.7512820946085839</v>
      </c>
      <c r="AP28" s="7">
        <f>ROW()</f>
        <v>28</v>
      </c>
    </row>
    <row r="29" spans="2:42" ht="14" customHeight="1">
      <c r="B29" s="32" t="s">
        <v>210</v>
      </c>
      <c r="G29" s="893"/>
      <c r="H29" s="894"/>
      <c r="I29" s="393">
        <f>Energy!G51</f>
        <v>3.3178683385579939</v>
      </c>
      <c r="J29" s="393">
        <f t="shared" si="5"/>
        <v>3.2713166144200629</v>
      </c>
      <c r="K29" s="393">
        <f>Energy!I51</f>
        <v>3.224764890282132</v>
      </c>
      <c r="L29" s="393">
        <f>Energy!J51</f>
        <v>3.051253918495298</v>
      </c>
      <c r="M29" s="393">
        <f>Energy!K51</f>
        <v>2.7648902821316614</v>
      </c>
      <c r="N29" s="393">
        <f>M29*Aviation!N31/Aviation!M31</f>
        <v>2.8391844318482464</v>
      </c>
      <c r="O29" s="393">
        <f>Energy!M51</f>
        <v>2.8721003134796237</v>
      </c>
      <c r="P29" s="435">
        <f>Energy!N51</f>
        <v>2.8183289599904984</v>
      </c>
      <c r="AP29" s="7">
        <f>ROW()</f>
        <v>29</v>
      </c>
    </row>
    <row r="30" spans="2:42" ht="14" customHeight="1">
      <c r="B30" s="32" t="s">
        <v>683</v>
      </c>
      <c r="G30" s="893"/>
      <c r="H30" s="894"/>
      <c r="I30" s="393">
        <f>Energy!G52</f>
        <v>5.4504000000000001</v>
      </c>
      <c r="J30" s="393">
        <f t="shared" si="5"/>
        <v>5.36165</v>
      </c>
      <c r="K30" s="393">
        <f>Energy!I52</f>
        <v>5.2728999999999999</v>
      </c>
      <c r="L30" s="393">
        <f>Energy!J52</f>
        <v>4.9002999999999997</v>
      </c>
      <c r="M30" s="393">
        <f>Energy!K52</f>
        <v>4.5269000000000004</v>
      </c>
      <c r="N30" s="393">
        <f>Energy!L52</f>
        <v>4.8037999999999998</v>
      </c>
      <c r="O30" s="393">
        <f>Energy!M52</f>
        <v>4.7476000000000003</v>
      </c>
      <c r="P30" s="435">
        <f>Energy!N52</f>
        <v>4.7476000000000003</v>
      </c>
      <c r="AP30" s="7">
        <f>ROW()</f>
        <v>30</v>
      </c>
    </row>
    <row r="31" spans="2:42" ht="14" customHeight="1">
      <c r="B31" s="8" t="s">
        <v>211</v>
      </c>
      <c r="G31" s="895"/>
      <c r="H31" s="896"/>
      <c r="I31" s="139">
        <f>Energy!G53+I30</f>
        <v>26.625106788221842</v>
      </c>
      <c r="J31" s="139">
        <f t="shared" si="5"/>
        <v>26.538375455711328</v>
      </c>
      <c r="K31" s="139">
        <f>Energy!I53+K30</f>
        <v>26.451644123200815</v>
      </c>
      <c r="L31" s="139">
        <f>Energy!J53+L30</f>
        <v>25.81387654682505</v>
      </c>
      <c r="M31" s="139">
        <f>Energy!K53+M30</f>
        <v>23.943825389744713</v>
      </c>
      <c r="N31" s="139">
        <f>Energy!L53+N30</f>
        <v>24.893080245450694</v>
      </c>
      <c r="O31" s="139">
        <f>Energy!M53+O30</f>
        <v>24.614167138112286</v>
      </c>
      <c r="P31" s="376">
        <f>Energy!N53+P30</f>
        <v>23.766495475160106</v>
      </c>
      <c r="AP31" s="7">
        <f>ROW()</f>
        <v>31</v>
      </c>
    </row>
    <row r="32" spans="2:42" ht="14" customHeight="1">
      <c r="B32" s="179"/>
      <c r="J32" s="420"/>
      <c r="K32" s="421"/>
      <c r="M32"/>
      <c r="P32" s="27"/>
      <c r="AP32" s="7">
        <f>ROW()</f>
        <v>32</v>
      </c>
    </row>
    <row r="33" spans="2:42" ht="14" customHeight="1">
      <c r="B33" s="8" t="s">
        <v>708</v>
      </c>
      <c r="I33" s="518">
        <f>1-'Other_Natural Gas'!I28</f>
        <v>0.45999999999999996</v>
      </c>
      <c r="J33" s="518">
        <f>1-'Other_Natural Gas'!J28</f>
        <v>0.5</v>
      </c>
      <c r="K33" s="518">
        <f>1-'Other_Natural Gas'!K28</f>
        <v>0.47</v>
      </c>
      <c r="L33" s="518">
        <f>1-'Other_Natural Gas'!L28</f>
        <v>0.47</v>
      </c>
      <c r="M33" s="518">
        <f>1-'Other_Natural Gas'!M28</f>
        <v>0.49</v>
      </c>
      <c r="N33" s="518">
        <f>1-'Other_Natural Gas'!N28</f>
        <v>0.48</v>
      </c>
      <c r="O33" s="518">
        <f>1-'Other_Natural Gas'!O28</f>
        <v>0.49</v>
      </c>
      <c r="P33" s="521">
        <f>1-'Other_Natural Gas'!P28</f>
        <v>0.45999999999999996</v>
      </c>
      <c r="AP33" s="7">
        <f>ROW()</f>
        <v>33</v>
      </c>
    </row>
    <row r="34" spans="2:42" ht="14" customHeight="1">
      <c r="B34" s="91" t="s">
        <v>709</v>
      </c>
      <c r="J34" s="420"/>
      <c r="K34" s="421"/>
      <c r="M34"/>
      <c r="P34" s="27"/>
      <c r="AP34" s="7">
        <f>ROW()</f>
        <v>34</v>
      </c>
    </row>
    <row r="35" spans="2:42" ht="14" customHeight="1">
      <c r="B35" s="8" t="s">
        <v>710</v>
      </c>
      <c r="I35" s="139">
        <f t="shared" ref="I35:P35" si="6">I33*I31</f>
        <v>12.247549122582047</v>
      </c>
      <c r="J35" s="139">
        <f t="shared" si="6"/>
        <v>13.269187727855664</v>
      </c>
      <c r="K35" s="139">
        <f t="shared" si="6"/>
        <v>12.432272737904382</v>
      </c>
      <c r="L35" s="139">
        <f t="shared" si="6"/>
        <v>12.132521977007773</v>
      </c>
      <c r="M35" s="139">
        <f t="shared" si="6"/>
        <v>11.73247444097491</v>
      </c>
      <c r="N35" s="139">
        <f t="shared" si="6"/>
        <v>11.948678517816333</v>
      </c>
      <c r="O35" s="139">
        <f t="shared" si="6"/>
        <v>12.06094189767502</v>
      </c>
      <c r="P35" s="376">
        <f t="shared" si="6"/>
        <v>10.932587918573647</v>
      </c>
      <c r="AP35" s="7">
        <f>ROW()</f>
        <v>35</v>
      </c>
    </row>
    <row r="36" spans="2:42" ht="14" customHeight="1">
      <c r="B36" s="91" t="str">
        <f>CONCATENATE("Product of Rows ",AP33, " and ",AP31, ".")</f>
        <v>Product of Rows 33 and 31.</v>
      </c>
      <c r="J36" s="420"/>
      <c r="K36" s="421"/>
      <c r="M36"/>
      <c r="P36" s="27"/>
      <c r="AP36" s="7">
        <f>ROW()</f>
        <v>36</v>
      </c>
    </row>
    <row r="37" spans="2:42" ht="14" customHeight="1">
      <c r="B37" s="8" t="s">
        <v>711</v>
      </c>
      <c r="I37" s="139">
        <f>1000*I35*Parameters!$J$40/Parameters!$H$14</f>
        <v>896.21332613010907</v>
      </c>
      <c r="J37" s="139">
        <f>1000*J35*Parameters!$J$40/Parameters!$H$14</f>
        <v>970.97164090567469</v>
      </c>
      <c r="K37" s="139">
        <f>1000*K35*Parameters!$J$40/Parameters!$H$14</f>
        <v>909.73046037842676</v>
      </c>
      <c r="L37" s="139">
        <f>1000*L35*Parameters!$J$40/Parameters!$H$14</f>
        <v>887.79622490450151</v>
      </c>
      <c r="M37" s="139">
        <f>1000*M35*Parameters!$J$40/Parameters!$H$14</f>
        <v>858.5227817617332</v>
      </c>
      <c r="N37" s="139">
        <f>1000*N35*Parameters!$J$40/Parameters!$H$14</f>
        <v>874.34349600338328</v>
      </c>
      <c r="O37" s="139">
        <f>1000*O35*Parameters!$J$40/Parameters!$H$14</f>
        <v>882.55835891667039</v>
      </c>
      <c r="P37" s="376">
        <f>1000*P35*Parameters!$J$40/Parameters!$H$14</f>
        <v>799.99115607948818</v>
      </c>
      <c r="AP37" s="7">
        <f>ROW()</f>
        <v>37</v>
      </c>
    </row>
    <row r="38" spans="2:42" ht="14" customHeight="1">
      <c r="B38" s="91" t="str">
        <f>CONCATENATE("Product of Row ",AP35, " and adjusted kg of CO2 per million btu of petroleum products (and coal) from 'Parameter' tab, Row ",Parameters!O40, ". Note that billions on either side of fraction bar cancel out.")</f>
        <v>Product of Row 35 and adjusted kg of CO2 per million btu of petroleum products (and coal) from 'Parameter' tab, Row 40. Note that billions on either side of fraction bar cancel out.</v>
      </c>
      <c r="J38" s="420"/>
      <c r="K38" s="421"/>
      <c r="M38"/>
      <c r="P38" s="27"/>
      <c r="AP38" s="7">
        <f>ROW()</f>
        <v>38</v>
      </c>
    </row>
    <row r="39" spans="2:42" ht="14" customHeight="1">
      <c r="B39" s="8" t="s">
        <v>721</v>
      </c>
      <c r="I39" s="139">
        <f>I37+'Other_Natural Gas'!I32</f>
        <v>1482.1556497492093</v>
      </c>
      <c r="J39" s="139">
        <f>J37+'Other_Natural Gas'!J32</f>
        <v>1513.5625518214431</v>
      </c>
      <c r="K39" s="139">
        <f>K37+'Other_Natural Gas'!K32</f>
        <v>1484.9316516714798</v>
      </c>
      <c r="L39" s="139">
        <f>L37+'Other_Natural Gas'!L32</f>
        <v>1455.7956338380168</v>
      </c>
      <c r="M39" s="139">
        <f>M37+'Other_Natural Gas'!M32</f>
        <v>1365.9740495022315</v>
      </c>
      <c r="N39" s="139">
        <f>N37+'Other_Natural Gas'!N32</f>
        <v>1409.6609758682753</v>
      </c>
      <c r="O39" s="139">
        <f>O37+'Other_Natural Gas'!O32</f>
        <v>1401.7607803881654</v>
      </c>
      <c r="P39" s="376">
        <f>P37+'Other_Natural Gas'!P32</f>
        <v>1326.2782928431857</v>
      </c>
      <c r="AP39" s="7">
        <f>ROW()</f>
        <v>39</v>
      </c>
    </row>
    <row r="40" spans="2:42" ht="14" customHeight="1">
      <c r="B40" s="91" t="str">
        <f>CONCATENATE("Sum of Row ",AP37, " from this tab and same Row from 'Other_Natural Gas' tab.")</f>
        <v>Sum of Row 37 from this tab and same Row from 'Other_Natural Gas' tab.</v>
      </c>
      <c r="I40" s="516"/>
      <c r="J40" s="516"/>
      <c r="K40" s="516"/>
      <c r="L40" s="516"/>
      <c r="M40" s="516"/>
      <c r="N40" s="516"/>
      <c r="O40" s="516"/>
      <c r="P40" s="435"/>
      <c r="AP40" s="7">
        <f>ROW()</f>
        <v>40</v>
      </c>
    </row>
    <row r="41" spans="2:42" ht="14" customHeight="1">
      <c r="B41" s="32" t="s">
        <v>722</v>
      </c>
      <c r="I41" s="66">
        <f>Emissions!G84</f>
        <v>1506.8000000000009</v>
      </c>
      <c r="J41" s="66">
        <f>Emissions!H84</f>
        <v>0</v>
      </c>
      <c r="K41" s="66">
        <f>Emissions!I84</f>
        <v>1507.1000000000008</v>
      </c>
      <c r="L41" s="66">
        <f>Emissions!J84</f>
        <v>1481.7999999999997</v>
      </c>
      <c r="M41" s="187">
        <f>Emissions!K84</f>
        <v>1390.6999999999998</v>
      </c>
      <c r="N41" s="187">
        <f>Emissions!L84</f>
        <v>1430.4999999999998</v>
      </c>
      <c r="O41" s="187">
        <f>Emissions!M84</f>
        <v>1424.4</v>
      </c>
      <c r="P41" s="27"/>
      <c r="AP41" s="7">
        <f>ROW()</f>
        <v>41</v>
      </c>
    </row>
    <row r="42" spans="2:42" ht="14" customHeight="1">
      <c r="M42"/>
      <c r="P42" s="27"/>
      <c r="AP42" s="7">
        <f>ROW()</f>
        <v>42</v>
      </c>
    </row>
    <row r="43" spans="2:42" ht="14" customHeight="1">
      <c r="I43" s="12">
        <f t="shared" ref="I43:AM43" si="7">I$13</f>
        <v>2005</v>
      </c>
      <c r="J43" s="12">
        <f t="shared" si="7"/>
        <v>2006</v>
      </c>
      <c r="K43" s="12">
        <f t="shared" si="7"/>
        <v>2007</v>
      </c>
      <c r="L43" s="12">
        <f t="shared" si="7"/>
        <v>2008</v>
      </c>
      <c r="M43" s="12">
        <f t="shared" si="7"/>
        <v>2009</v>
      </c>
      <c r="N43" s="12">
        <f t="shared" si="7"/>
        <v>2010</v>
      </c>
      <c r="O43" s="12">
        <f t="shared" si="7"/>
        <v>2011</v>
      </c>
      <c r="P43" s="434">
        <f t="shared" si="7"/>
        <v>2012</v>
      </c>
      <c r="Q43" s="12">
        <f t="shared" si="7"/>
        <v>2015</v>
      </c>
      <c r="R43" s="12">
        <f t="shared" si="7"/>
        <v>2016</v>
      </c>
      <c r="S43" s="12">
        <f t="shared" si="7"/>
        <v>2017</v>
      </c>
      <c r="T43" s="12">
        <f t="shared" si="7"/>
        <v>2018</v>
      </c>
      <c r="U43" s="12">
        <f t="shared" si="7"/>
        <v>2019</v>
      </c>
      <c r="V43" s="12">
        <f t="shared" si="7"/>
        <v>2020</v>
      </c>
      <c r="W43" s="12">
        <f t="shared" si="7"/>
        <v>2021</v>
      </c>
      <c r="X43" s="12">
        <f t="shared" si="7"/>
        <v>2022</v>
      </c>
      <c r="Y43" s="12">
        <f t="shared" si="7"/>
        <v>2023</v>
      </c>
      <c r="Z43" s="12">
        <f t="shared" si="7"/>
        <v>2024</v>
      </c>
      <c r="AA43" s="12">
        <f t="shared" si="7"/>
        <v>2025</v>
      </c>
      <c r="AB43" s="12">
        <f t="shared" si="7"/>
        <v>2026</v>
      </c>
      <c r="AC43" s="12">
        <f t="shared" si="7"/>
        <v>2027</v>
      </c>
      <c r="AD43" s="12">
        <f t="shared" si="7"/>
        <v>2028</v>
      </c>
      <c r="AE43" s="12">
        <f t="shared" si="7"/>
        <v>2029</v>
      </c>
      <c r="AF43" s="12">
        <f t="shared" si="7"/>
        <v>2030</v>
      </c>
      <c r="AG43" s="12">
        <f t="shared" si="7"/>
        <v>2031</v>
      </c>
      <c r="AH43" s="12">
        <f t="shared" si="7"/>
        <v>2032</v>
      </c>
      <c r="AI43" s="12">
        <f t="shared" si="7"/>
        <v>2033</v>
      </c>
      <c r="AJ43" s="12">
        <f t="shared" si="7"/>
        <v>2034</v>
      </c>
      <c r="AK43" s="12">
        <f t="shared" si="7"/>
        <v>2035</v>
      </c>
      <c r="AL43" s="12">
        <f t="shared" si="7"/>
        <v>2036</v>
      </c>
      <c r="AM43" s="12">
        <f t="shared" si="7"/>
        <v>2037</v>
      </c>
      <c r="AP43" s="7">
        <f>ROW()</f>
        <v>43</v>
      </c>
    </row>
    <row r="44" spans="2:42" ht="14" customHeight="1">
      <c r="D44" s="32" t="s">
        <v>618</v>
      </c>
      <c r="K44" s="12"/>
      <c r="L44" s="12"/>
      <c r="M44" s="12"/>
      <c r="N44" s="12"/>
      <c r="O44" s="12"/>
      <c r="P44" s="434"/>
      <c r="AP44" s="7">
        <f>ROW()</f>
        <v>44</v>
      </c>
    </row>
    <row r="45" spans="2:42" ht="14" customHeight="1">
      <c r="B45" s="32" t="s">
        <v>574</v>
      </c>
      <c r="K45" s="419">
        <f>1000*Energy!I65/Energy!$D$42</f>
        <v>9.7367160069143726</v>
      </c>
      <c r="L45" s="419">
        <f>1000*Energy!J65/Energy!$D$42</f>
        <v>11.139159201133243</v>
      </c>
      <c r="M45" s="419">
        <f>1000*Energy!K65/Energy!$D$42</f>
        <v>8.1760093038378798</v>
      </c>
      <c r="N45" s="419">
        <f>1000*Energy!L65/Energy!$D$42</f>
        <v>7.7996001193748681</v>
      </c>
      <c r="O45" s="419">
        <f>1000*Energy!M65/Energy!$D$42</f>
        <v>7.3764166474606379</v>
      </c>
      <c r="P45" s="436">
        <f>1000*Energy!N65/Energy!$D$42</f>
        <v>6.3081682727921047</v>
      </c>
      <c r="AP45" s="7">
        <f>ROW()</f>
        <v>45</v>
      </c>
    </row>
    <row r="46" spans="2:42" ht="14" customHeight="1">
      <c r="B46" s="91" t="str">
        <f>CONCATENATE("Ratio of Row ",Energy!Q65, " in 'Energy' tab (delivered price per mcf) to Cell D",Energy!Q42, " in 'Energy' tab (btu per mcf).")</f>
        <v>Ratio of Row 65 in 'Energy' tab (delivered price per mcf) to Cell D42 in 'Energy' tab (btu per mcf).</v>
      </c>
      <c r="M46"/>
      <c r="N46"/>
      <c r="P46" s="27"/>
      <c r="AP46" s="7">
        <f>ROW()</f>
        <v>46</v>
      </c>
    </row>
    <row r="47" spans="2:42" ht="14" customHeight="1">
      <c r="B47" s="32" t="s">
        <v>575</v>
      </c>
      <c r="K47" s="419">
        <f>1000*Energy!I71/Energy!$D$42</f>
        <v>6.073858114674441</v>
      </c>
      <c r="L47" s="419">
        <f>1000*Energy!J71/Energy!$D$42</f>
        <v>7.7453838678328477</v>
      </c>
      <c r="M47" s="419">
        <f>1000*Energy!K71/Energy!$D$42</f>
        <v>3.5665694849368319</v>
      </c>
      <c r="N47" s="419">
        <f>1000*Energy!L71/Energy!$D$42</f>
        <v>4.3537414965986398</v>
      </c>
      <c r="O47" s="419">
        <f>1000*Energy!M71/Energy!$D$42</f>
        <v>3.8386783284742467</v>
      </c>
      <c r="P47" s="436">
        <f>1000*Energy!N71/Energy!$D$42</f>
        <v>2.5850340136054424</v>
      </c>
      <c r="AP47" s="7">
        <f>ROW()</f>
        <v>47</v>
      </c>
    </row>
    <row r="48" spans="2:42" ht="14" customHeight="1">
      <c r="B48" s="91" t="str">
        <f>CONCATENATE("Ratio of Row ",Energy!Q71, " in 'Energy' tab (wellhead price per mcf) to Cell D",Energy!Q42, " in 'Energy' tab (btu per mcf).")</f>
        <v>Ratio of Row 71 in 'Energy' tab (wellhead price per mcf) to Cell D42 in 'Energy' tab (btu per mcf).</v>
      </c>
      <c r="M48"/>
      <c r="N48"/>
      <c r="P48" s="27"/>
      <c r="AP48" s="7">
        <f>ROW()</f>
        <v>48</v>
      </c>
    </row>
    <row r="49" spans="2:42" ht="14" customHeight="1">
      <c r="B49" s="32" t="s">
        <v>576</v>
      </c>
      <c r="K49" s="197">
        <f t="shared" ref="K49:P49" si="8">K45-K47</f>
        <v>3.6628578922399315</v>
      </c>
      <c r="L49" s="197">
        <f t="shared" si="8"/>
        <v>3.393775333300395</v>
      </c>
      <c r="M49" s="197">
        <f t="shared" si="8"/>
        <v>4.6094398189010484</v>
      </c>
      <c r="N49" s="197">
        <f t="shared" si="8"/>
        <v>3.4458586227762282</v>
      </c>
      <c r="O49" s="197">
        <f t="shared" si="8"/>
        <v>3.5377383189863911</v>
      </c>
      <c r="P49" s="436">
        <f t="shared" si="8"/>
        <v>3.7231342591866623</v>
      </c>
      <c r="AP49" s="7">
        <f>ROW()</f>
        <v>49</v>
      </c>
    </row>
    <row r="50" spans="2:42" ht="14" customHeight="1">
      <c r="B50" s="91" t="str">
        <f>CONCATENATE("Row ",AP45, " less Row ",AP47, ".")</f>
        <v>Row 45 less Row 47.</v>
      </c>
      <c r="M50"/>
      <c r="N50"/>
      <c r="O50"/>
      <c r="P50" s="27"/>
      <c r="AP50" s="7">
        <f>ROW()</f>
        <v>50</v>
      </c>
    </row>
    <row r="51" spans="2:42" ht="14" customHeight="1">
      <c r="D51" s="32" t="s">
        <v>726</v>
      </c>
      <c r="M51"/>
      <c r="N51"/>
      <c r="O51"/>
      <c r="P51" s="27"/>
      <c r="AP51" s="7">
        <f>ROW()</f>
        <v>51</v>
      </c>
    </row>
    <row r="52" spans="2:42" ht="14" customHeight="1">
      <c r="B52" s="32" t="s">
        <v>728</v>
      </c>
      <c r="M52"/>
      <c r="N52" s="197">
        <f>AVERAGE(Freight!N53,Aviation!N53)</f>
        <v>2.7192689008694462</v>
      </c>
      <c r="O52" s="197">
        <f>AVERAGE(Freight!O53,Aviation!O53)</f>
        <v>3.5251527555954927</v>
      </c>
      <c r="P52" s="436">
        <f>AVERAGE(Freight!P53,Aviation!P53)</f>
        <v>3.5525000000000002</v>
      </c>
      <c r="Q52" s="197">
        <f>AVERAGE(Freight!Q53,Aviation!Q53)</f>
        <v>3.8973379194519104</v>
      </c>
      <c r="R52" s="197">
        <f>AVERAGE(Freight!R53,Aviation!R53)</f>
        <v>4.0205415433903857</v>
      </c>
      <c r="S52" s="197">
        <f>AVERAGE(Freight!S53,Aviation!S53)</f>
        <v>4.1481225644149742</v>
      </c>
      <c r="T52" s="197">
        <f>AVERAGE(Freight!T53,Aviation!T53)</f>
        <v>4.2802382750842929</v>
      </c>
      <c r="U52" s="197">
        <f>AVERAGE(Freight!U53,Aviation!U53)</f>
        <v>4.4170516805091804</v>
      </c>
      <c r="V52" s="197">
        <f>AVERAGE(Freight!V53,Aviation!V53)</f>
        <v>4.5587317078772491</v>
      </c>
      <c r="W52" s="197">
        <f>AVERAGE(Freight!W53,Aviation!W53)</f>
        <v>4.7054534237314254</v>
      </c>
      <c r="X52" s="197">
        <f>AVERAGE(Freight!X53,Aviation!X53)</f>
        <v>4.8573982592917027</v>
      </c>
      <c r="Y52" s="197">
        <f>AVERAGE(Freight!Y53,Aviation!Y53)</f>
        <v>5.014754244120244</v>
      </c>
      <c r="Z52" s="197">
        <f>AVERAGE(Freight!Z53,Aviation!Z53)</f>
        <v>5.1777162484412091</v>
      </c>
      <c r="AA52" s="197">
        <f>AVERAGE(Freight!AA53,Aviation!AA53)</f>
        <v>5.346486234438423</v>
      </c>
      <c r="AB52" s="197">
        <f>AVERAGE(Freight!AB53,Aviation!AB53)</f>
        <v>5.5212735168661027</v>
      </c>
      <c r="AC52" s="197">
        <f>AVERAGE(Freight!AC53,Aviation!AC53)</f>
        <v>5.7022950333205058</v>
      </c>
      <c r="AD52" s="197">
        <f>AVERAGE(Freight!AD53,Aviation!AD53)</f>
        <v>5.8897756245334234</v>
      </c>
      <c r="AE52" s="197">
        <f>AVERAGE(Freight!AE53,Aviation!AE53)</f>
        <v>6.0839483250620088</v>
      </c>
      <c r="AF52" s="197">
        <f>AVERAGE(Freight!AF53,Aviation!AF53)</f>
        <v>6.285054664763547</v>
      </c>
      <c r="AG52" s="197">
        <f>AVERAGE(Freight!AG53,Aviation!AG53)</f>
        <v>6.4933449814583808</v>
      </c>
      <c r="AH52" s="197">
        <f>AVERAGE(Freight!AH53,Aviation!AH53)</f>
        <v>6.7090787451993599</v>
      </c>
      <c r="AI52" s="197">
        <f>AVERAGE(Freight!AI53,Aviation!AI53)</f>
        <v>6.9325248945819915</v>
      </c>
      <c r="AJ52" s="197">
        <f>AVERAGE(Freight!AJ53,Aviation!AJ53)</f>
        <v>7.1639621855457456</v>
      </c>
      <c r="AK52" s="197">
        <f>AVERAGE(Freight!AK53,Aviation!AK53)</f>
        <v>7.4036795531340003</v>
      </c>
      <c r="AL52" s="197">
        <f>AVERAGE(Freight!AL53,Aviation!AL53)</f>
        <v>7.651976486697655</v>
      </c>
      <c r="AM52" s="197">
        <f>AVERAGE(Freight!AM53,Aviation!AM53)</f>
        <v>7.9091634190457896</v>
      </c>
      <c r="AP52" s="7">
        <f>ROW()</f>
        <v>52</v>
      </c>
    </row>
    <row r="53" spans="2:42" ht="14" customHeight="1">
      <c r="B53" s="91" t="str">
        <f>CONCATENATE("Taken as mean value of diesel and jet fuel prices in Row ",AP52, ", in respective tabs.")</f>
        <v>Taken as mean value of diesel and jet fuel prices in Row 52, in respective tabs.</v>
      </c>
      <c r="M53"/>
      <c r="N53"/>
      <c r="O53"/>
      <c r="P53" s="27"/>
      <c r="Q53" s="197"/>
      <c r="AP53" s="7">
        <f>ROW()</f>
        <v>53</v>
      </c>
    </row>
    <row r="54" spans="2:42" ht="14" customHeight="1">
      <c r="B54" s="32" t="s">
        <v>725</v>
      </c>
      <c r="I54" s="38">
        <f>I35/Parameters!$I$38*Parameters!$H$17*1000</f>
        <v>95695.844564389059</v>
      </c>
      <c r="J54" s="38">
        <f>J35/Parameters!$I$38*Parameters!$H$17*1000</f>
        <v>103678.38606658897</v>
      </c>
      <c r="K54" s="38">
        <f>K35/Parameters!$I$38*Parameters!$H$17*1000</f>
        <v>97139.176793746272</v>
      </c>
      <c r="L54" s="38">
        <f>L35/Parameters!$I$38*Parameters!$H$17*1000</f>
        <v>94797.083536089529</v>
      </c>
      <c r="M54" s="38">
        <f>M35/Parameters!$I$38*Parameters!$H$17*1000</f>
        <v>91671.324541909882</v>
      </c>
      <c r="N54" s="38">
        <f>N35/Parameters!$I$38*Parameters!$H$17*1000</f>
        <v>93360.628379316506</v>
      </c>
      <c r="O54" s="38">
        <f>O35/Parameters!$I$38*Parameters!$H$17*1000</f>
        <v>94237.794810061561</v>
      </c>
      <c r="P54" s="38">
        <f>P35/Parameters!$I$38*Parameters!$H$17*1000</f>
        <v>85421.436049874712</v>
      </c>
      <c r="Q54" s="338">
        <f>P54*((IF(R$13&gt;=2036,AEO!$L17,(IF(R$13&gt;=2026,AEO!$K17,AEO!$J17)))^Parameters!$H$10))^(Q13-P13)*((Q52/P52)^Parameters!$G$8)</f>
        <v>86411.796211265362</v>
      </c>
      <c r="R54" s="128">
        <f>Q54*((IF(S$13&gt;=2036,AEO!$L17,(IF(S$13&gt;=2026,AEO!$K17,AEO!$J17)))^Parameters!$H$10))^(R13-Q13)*((R52/Q52)^Parameters!$G$8)</f>
        <v>86733.959234569484</v>
      </c>
      <c r="S54" s="128">
        <f>R54*((IF(T$13&gt;=2036,AEO!$L17,(IF(T$13&gt;=2026,AEO!$K17,AEO!$J17)))^Parameters!$H$10))^(S13-R13)*((S52/R52)^Parameters!$G$8)</f>
        <v>87052.258447431959</v>
      </c>
      <c r="T54" s="128">
        <f>S54*((IF(U$13&gt;=2036,AEO!$L17,(IF(U$13&gt;=2026,AEO!$K17,AEO!$J17)))^Parameters!$H$10))^(T13-S13)*((T52/S52)^Parameters!$G$8)</f>
        <v>87366.762750872818</v>
      </c>
      <c r="U54" s="128">
        <f>T54*((IF(V$13&gt;=2036,AEO!$L17,(IF(V$13&gt;=2026,AEO!$K17,AEO!$J17)))^Parameters!$H$10))^(U13-T13)*((U52/T52)^Parameters!$G$8)</f>
        <v>87677.540961728548</v>
      </c>
      <c r="V54" s="128">
        <f>U54*((IF(W$13&gt;=2036,AEO!$L17,(IF(W$13&gt;=2026,AEO!$K17,AEO!$J17)))^Parameters!$H$10))^(V13-U13)*((V52/U52)^Parameters!$G$8)</f>
        <v>87984.66172284272</v>
      </c>
      <c r="W54" s="128">
        <f>V54*((IF(X$13&gt;=2036,AEO!$L17,(IF(X$13&gt;=2026,AEO!$K17,AEO!$J17)))^Parameters!$H$10))^(W13-V13)*((W52/V52)^Parameters!$G$8)</f>
        <v>88288.19341875489</v>
      </c>
      <c r="X54" s="128">
        <f>W54*((IF(Y$13&gt;=2036,AEO!$L17,(IF(Y$13&gt;=2026,AEO!$K17,AEO!$J17)))^Parameters!$H$10))^(X13-W13)*((X52/W52)^Parameters!$G$8)</f>
        <v>88588.20409675769</v>
      </c>
      <c r="Y54" s="128">
        <f>X54*((IF(Z$13&gt;=2036,AEO!$L17,(IF(Z$13&gt;=2026,AEO!$K17,AEO!$J17)))^Parameters!$H$10))^(Y13-X13)*((Y52/X52)^Parameters!$G$8)</f>
        <v>88884.761393181674</v>
      </c>
      <c r="Z54" s="128">
        <f>Y54*((IF(AA$13&gt;=2036,AEO!$L17,(IF(AA$13&gt;=2026,AEO!$K17,AEO!$J17)))^Parameters!$H$10))^(Z13-Y13)*((Z52/Y52)^Parameters!$G$8)</f>
        <v>89177.932464759637</v>
      </c>
      <c r="AA54" s="128">
        <f>Z54*((IF(AB$13&gt;=2036,AEO!$L17,(IF(AB$13&gt;=2026,AEO!$K17,AEO!$J17)))^Parameters!$H$10))^(AA13-Z13)*((AA52/Z52)^Parameters!$G$8)</f>
        <v>89342.072070458133</v>
      </c>
      <c r="AB54" s="128">
        <f>AA54*((IF(AC$13&gt;=2036,AEO!$L17,(IF(AC$13&gt;=2026,AEO!$K17,AEO!$J17)))^Parameters!$H$10))^(AB13-AA13)*((AB52/AA52)^Parameters!$G$8)</f>
        <v>89502.329878799312</v>
      </c>
      <c r="AC54" s="128">
        <f>AB54*((IF(AD$13&gt;=2036,AEO!$L17,(IF(AD$13&gt;=2026,AEO!$K17,AEO!$J17)))^Parameters!$H$10))^(AC13-AB13)*((AC52/AB52)^Parameters!$G$8)</f>
        <v>89658.786112673071</v>
      </c>
      <c r="AD54" s="128">
        <f>AC54*((IF(AE$13&gt;=2036,AEO!$L17,(IF(AE$13&gt;=2026,AEO!$K17,AEO!$J17)))^Parameters!$H$10))^(AD13-AC13)*((AD52/AC52)^Parameters!$G$8)</f>
        <v>89811.51988532579</v>
      </c>
      <c r="AE54" s="128">
        <f>AD54*((IF(AF$13&gt;=2036,AEO!$L17,(IF(AF$13&gt;=2026,AEO!$K17,AEO!$J17)))^Parameters!$H$10))^(AE13-AD13)*((AE52/AD52)^Parameters!$G$8)</f>
        <v>89960.609161330533</v>
      </c>
      <c r="AF54" s="128">
        <f>AE54*((IF(AG$13&gt;=2036,AEO!$L17,(IF(AG$13&gt;=2026,AEO!$K17,AEO!$J17)))^Parameters!$H$10))^(AF13-AE13)*((AF52/AE52)^Parameters!$G$8)</f>
        <v>90106.130721965761</v>
      </c>
      <c r="AG54" s="128">
        <f>AF54*((IF(AH$13&gt;=2036,AEO!$L17,(IF(AH$13&gt;=2026,AEO!$K17,AEO!$J17)))^Parameters!$H$10))^(AG13-AF13)*((AG52/AF52)^Parameters!$G$8)</f>
        <v>90248.160134789796</v>
      </c>
      <c r="AH54" s="128">
        <f>AG54*((IF(AI$13&gt;=2036,AEO!$L17,(IF(AI$13&gt;=2026,AEO!$K17,AEO!$J17)))^Parameters!$H$10))^(AH13-AG13)*((AH52/AG52)^Parameters!$G$8)</f>
        <v>90386.771727200685</v>
      </c>
      <c r="AI54" s="128">
        <f>AH54*((IF(AJ$13&gt;=2036,AEO!$L17,(IF(AJ$13&gt;=2026,AEO!$K17,AEO!$J17)))^Parameters!$H$10))^(AI13-AH13)*((AI52/AH52)^Parameters!$G$8)</f>
        <v>90522.038563774448</v>
      </c>
      <c r="AJ54" s="128">
        <f>AI54*((IF(AK$13&gt;=2036,AEO!$L17,(IF(AK$13&gt;=2026,AEO!$K17,AEO!$J17)))^Parameters!$H$10))^(AJ13-AI13)*((AJ52/AI52)^Parameters!$G$8)</f>
        <v>90654.032427178114</v>
      </c>
      <c r="AK54" s="128">
        <f>AJ54*((IF(AL$13&gt;=2036,AEO!$L17,(IF(AL$13&gt;=2026,AEO!$K17,AEO!$J17)))^Parameters!$H$10))^(AK13-AJ13)*((AK52/AJ52)^Parameters!$G$8)</f>
        <v>90849.054882687793</v>
      </c>
      <c r="AL54" s="128">
        <f>AK54*((IF(AM$13&gt;=2036,AEO!$L17,(IF(AM$13&gt;=2026,AEO!$K17,AEO!$J17)))^Parameters!$H$10))^(AL13-AK13)*((AL52/AK52)^Parameters!$G$8)</f>
        <v>91041.175760064274</v>
      </c>
      <c r="AM54" s="128">
        <f>AL54*((IF(AN$13&gt;=2036,AEO!$L17,(IF(AN$13&gt;=2026,AEO!$K17,AEO!$J17)))^Parameters!$H$10))^(AM13-AL13)*((AM52/AL52)^Parameters!$G$8)</f>
        <v>91292.222692552445</v>
      </c>
      <c r="AP54" s="7">
        <f>ROW()</f>
        <v>54</v>
      </c>
    </row>
    <row r="55" spans="2:42" ht="14" customHeight="1">
      <c r="B55" s="885" t="str">
        <f>CONCATENATE("Historical figures are from Row ",AP35, ", using avg btu/barrel from 'Parameters,' Cell I",Parameters!O38, ". Future figs apply (i) income-elasticity for 'other' energy in Parameters page, Row ",Parameters!O10,", to assumed GDP growth rates in 'AEO' tab, Row ",AEO!P17, "; and (ii) price-elasticity for 'other' energy in same 'Parameters' row, to ratio of year's 2012-$ price to prior year's 2012-$ price calculated from Row ",AP52, ".")</f>
        <v>Historical figures are from Row 35, using avg btu/barrel from 'Parameters,' Cell I38. Future figs apply (i) income-elasticity for 'other' energy in Parameters page, Row 10, to assumed GDP growth rates in 'AEO' tab, Row 17; and (ii) price-elasticity for 'other' energy in same 'Parameters' row, to ratio of year's 2012-$ price to prior year's 2012-$ price calculated from Row 52.</v>
      </c>
      <c r="C55" s="738"/>
      <c r="D55" s="738"/>
      <c r="E55" s="738"/>
      <c r="F55" s="738"/>
      <c r="G55" s="738"/>
      <c r="H55" s="738"/>
      <c r="I55" s="738"/>
      <c r="J55" s="738"/>
      <c r="K55" s="738"/>
      <c r="L55" s="738"/>
      <c r="M55" s="738"/>
      <c r="N55" s="738"/>
      <c r="O55" s="738"/>
      <c r="P55" s="739"/>
      <c r="Q55" s="197"/>
      <c r="AP55" s="7">
        <f>ROW()</f>
        <v>55</v>
      </c>
    </row>
    <row r="56" spans="2:42" ht="14" customHeight="1">
      <c r="B56" s="738"/>
      <c r="C56" s="738"/>
      <c r="D56" s="738"/>
      <c r="E56" s="738"/>
      <c r="F56" s="738"/>
      <c r="G56" s="738"/>
      <c r="H56" s="738"/>
      <c r="I56" s="738"/>
      <c r="J56" s="738"/>
      <c r="K56" s="738"/>
      <c r="L56" s="738"/>
      <c r="M56" s="738"/>
      <c r="N56" s="738"/>
      <c r="O56" s="738"/>
      <c r="P56" s="739"/>
      <c r="Q56" s="197"/>
      <c r="AP56" s="7">
        <f>ROW()</f>
        <v>56</v>
      </c>
    </row>
    <row r="57" spans="2:42" ht="14" customHeight="1">
      <c r="B57" s="32" t="s">
        <v>111</v>
      </c>
      <c r="C57" s="182"/>
      <c r="D57" s="182"/>
      <c r="E57" s="182"/>
      <c r="F57" s="182"/>
      <c r="G57" s="182"/>
      <c r="H57" s="182"/>
      <c r="I57" s="25">
        <f t="shared" ref="I57:P57" si="9">I37</f>
        <v>896.21332613010907</v>
      </c>
      <c r="J57" s="25">
        <f t="shared" si="9"/>
        <v>970.97164090567469</v>
      </c>
      <c r="K57" s="25">
        <f t="shared" si="9"/>
        <v>909.73046037842676</v>
      </c>
      <c r="L57" s="25">
        <f t="shared" si="9"/>
        <v>887.79622490450151</v>
      </c>
      <c r="M57" s="25">
        <f t="shared" si="9"/>
        <v>858.5227817617332</v>
      </c>
      <c r="N57" s="25">
        <f t="shared" si="9"/>
        <v>874.34349600338328</v>
      </c>
      <c r="O57" s="25">
        <f t="shared" si="9"/>
        <v>882.55835891667039</v>
      </c>
      <c r="P57" s="25">
        <f t="shared" si="9"/>
        <v>799.99115607948818</v>
      </c>
      <c r="Q57" s="341">
        <f t="shared" ref="Q57:AM57" si="10">$P$57*Q54/$P$54</f>
        <v>809.26610399751883</v>
      </c>
      <c r="R57" s="115">
        <f t="shared" si="10"/>
        <v>812.28323390515288</v>
      </c>
      <c r="S57" s="115">
        <f t="shared" si="10"/>
        <v>815.26417835015582</v>
      </c>
      <c r="T57" s="115">
        <f t="shared" si="10"/>
        <v>818.20958260623422</v>
      </c>
      <c r="U57" s="115">
        <f t="shared" si="10"/>
        <v>821.12009115869671</v>
      </c>
      <c r="V57" s="115">
        <f t="shared" si="10"/>
        <v>823.99634686336879</v>
      </c>
      <c r="W57" s="115">
        <f t="shared" si="10"/>
        <v>826.83899015700024</v>
      </c>
      <c r="X57" s="115">
        <f t="shared" si="10"/>
        <v>829.64865831794657</v>
      </c>
      <c r="Y57" s="115">
        <f t="shared" si="10"/>
        <v>832.42598477581043</v>
      </c>
      <c r="Z57" s="115">
        <f t="shared" si="10"/>
        <v>835.17159846865184</v>
      </c>
      <c r="AA57" s="115">
        <f t="shared" si="10"/>
        <v>836.70880316800265</v>
      </c>
      <c r="AB57" s="115">
        <f t="shared" si="10"/>
        <v>838.20965395317057</v>
      </c>
      <c r="AC57" s="115">
        <f t="shared" si="10"/>
        <v>839.67490212974587</v>
      </c>
      <c r="AD57" s="115">
        <f t="shared" si="10"/>
        <v>841.10528861125476</v>
      </c>
      <c r="AE57" s="115">
        <f t="shared" si="10"/>
        <v>842.50154355363793</v>
      </c>
      <c r="AF57" s="115">
        <f t="shared" si="10"/>
        <v>843.86438603101203</v>
      </c>
      <c r="AG57" s="115">
        <f t="shared" si="10"/>
        <v>845.19452375072956</v>
      </c>
      <c r="AH57" s="115">
        <f t="shared" si="10"/>
        <v>846.49265280576049</v>
      </c>
      <c r="AI57" s="115">
        <f t="shared" si="10"/>
        <v>847.75945746245918</v>
      </c>
      <c r="AJ57" s="115">
        <f t="shared" si="10"/>
        <v>848.99560998181084</v>
      </c>
      <c r="AK57" s="115">
        <f t="shared" si="10"/>
        <v>850.82203958612649</v>
      </c>
      <c r="AL57" s="115">
        <f t="shared" si="10"/>
        <v>852.62129525199566</v>
      </c>
      <c r="AM57" s="115">
        <f t="shared" si="10"/>
        <v>854.97240681179392</v>
      </c>
      <c r="AP57" s="7">
        <f>ROW()</f>
        <v>57</v>
      </c>
    </row>
    <row r="58" spans="2:42" ht="14" customHeight="1">
      <c r="B58" s="91" t="str">
        <f>CONCATENATE("Begins with 2011 price in Cell O",AP47, " and escalates per ratios in Row ",AP54, " (accounting for multi-year interval from 2011 to first carbon-tax year).")</f>
        <v>Begins with 2011 price in Cell O47 and escalates per ratios in Row 54 (accounting for multi-year interval from 2011 to first carbon-tax year).</v>
      </c>
      <c r="M58"/>
      <c r="N58"/>
      <c r="P58" s="27"/>
      <c r="AP58" s="7">
        <f>ROW()</f>
        <v>58</v>
      </c>
    </row>
    <row r="59" spans="2:42" ht="14" customHeight="1">
      <c r="B59" s="91"/>
      <c r="D59" s="32" t="s">
        <v>727</v>
      </c>
      <c r="M59"/>
      <c r="N59"/>
      <c r="P59" s="27"/>
      <c r="AP59" s="7">
        <f>ROW()</f>
        <v>59</v>
      </c>
    </row>
    <row r="60" spans="2:42" ht="14" customHeight="1">
      <c r="B60" s="32" t="s">
        <v>729</v>
      </c>
      <c r="K60" s="328"/>
      <c r="L60" s="328"/>
      <c r="M60" s="328"/>
      <c r="N60" s="328">
        <f>N50+N26</f>
        <v>31.230942919999997</v>
      </c>
      <c r="O60" s="328">
        <f>O50+O26</f>
        <v>30.388527060000001</v>
      </c>
      <c r="P60" s="328">
        <f>P50+P26</f>
        <v>29.601101647</v>
      </c>
      <c r="Q60" s="333">
        <f t="shared" ref="Q60:AM60" si="11">Q21+Q52</f>
        <v>4.6850293393398212</v>
      </c>
      <c r="R60" s="328">
        <f t="shared" si="11"/>
        <v>4.8211528931613135</v>
      </c>
      <c r="S60" s="328">
        <f t="shared" si="11"/>
        <v>4.9618657059161659</v>
      </c>
      <c r="T60" s="328">
        <f t="shared" si="11"/>
        <v>5.1073285434584594</v>
      </c>
      <c r="U60" s="328">
        <f t="shared" si="11"/>
        <v>5.2577079411236065</v>
      </c>
      <c r="V60" s="328">
        <f t="shared" si="11"/>
        <v>5.4131764141858012</v>
      </c>
      <c r="W60" s="328">
        <f t="shared" si="11"/>
        <v>5.5739126760847526</v>
      </c>
      <c r="X60" s="328">
        <f t="shared" si="11"/>
        <v>5.7401018647111632</v>
      </c>
      <c r="Y60" s="328">
        <f t="shared" si="11"/>
        <v>5.9119357770513439</v>
      </c>
      <c r="Z60" s="328">
        <f t="shared" si="11"/>
        <v>6.0896131125026089</v>
      </c>
      <c r="AA60" s="328">
        <f t="shared" si="11"/>
        <v>6.273339725182808</v>
      </c>
      <c r="AB60" s="328">
        <f t="shared" si="11"/>
        <v>6.463328885569517</v>
      </c>
      <c r="AC60" s="328">
        <f t="shared" si="11"/>
        <v>6.6598015518169795</v>
      </c>
      <c r="AD60" s="328">
        <f t="shared" si="11"/>
        <v>6.8629866511120312</v>
      </c>
      <c r="AE60" s="328">
        <f t="shared" si="11"/>
        <v>7.0731213714437633</v>
      </c>
      <c r="AF60" s="328">
        <f t="shared" si="11"/>
        <v>7.2904514641758169</v>
      </c>
      <c r="AG60" s="328">
        <f t="shared" si="11"/>
        <v>7.5152315578248148</v>
      </c>
      <c r="AH60" s="328">
        <f t="shared" si="11"/>
        <v>7.7477254834635962</v>
      </c>
      <c r="AI60" s="328">
        <f t="shared" si="11"/>
        <v>7.9882066121837232</v>
      </c>
      <c r="AJ60" s="328">
        <f t="shared" si="11"/>
        <v>8.2369582050680243</v>
      </c>
      <c r="AK60" s="328">
        <f t="shared" si="11"/>
        <v>8.4942737761409699</v>
      </c>
      <c r="AL60" s="328">
        <f t="shared" si="11"/>
        <v>8.7604574687822065</v>
      </c>
      <c r="AM60" s="328">
        <f t="shared" si="11"/>
        <v>9.0358244461069823</v>
      </c>
      <c r="AP60" s="7">
        <f>ROW()</f>
        <v>60</v>
      </c>
    </row>
    <row r="61" spans="2:42" ht="14" customHeight="1">
      <c r="B61" s="366" t="str">
        <f>CONCATENATE("Sum of Rows ",AP21, " and ",AP52, ".")</f>
        <v>Sum of Rows 21 and 52.</v>
      </c>
      <c r="M61"/>
      <c r="Q61" s="270"/>
      <c r="AP61" s="7">
        <f>ROW()</f>
        <v>61</v>
      </c>
    </row>
    <row r="62" spans="2:42" ht="14" customHeight="1">
      <c r="B62" s="32" t="s">
        <v>732</v>
      </c>
      <c r="K62" s="329">
        <f>K60/(AEO!$N$18)^(K$13-$P$13)</f>
        <v>0</v>
      </c>
      <c r="L62" s="329">
        <f>L60/(AEO!$N$18)^(L$13-$P$13)</f>
        <v>0</v>
      </c>
      <c r="M62" s="329">
        <f>M60/(AEO!$N$18)^(M$13-$P$13)</f>
        <v>0</v>
      </c>
      <c r="N62" s="329">
        <f>N60/(AEO!$N$18)^(N$13-$P$13)</f>
        <v>32.334030773723512</v>
      </c>
      <c r="O62" s="329">
        <f>O60/(AEO!$N$18)^(O$13-$P$13)</f>
        <v>30.920536846311791</v>
      </c>
      <c r="P62" s="328">
        <f>P60/(AEO!$N$18)^(P$13-$P$13)</f>
        <v>29.601101647</v>
      </c>
      <c r="Q62" s="333">
        <f>Q60/(AEO!$N$18)^(Q$13-$P$13)</f>
        <v>4.4473385276817945</v>
      </c>
      <c r="R62" s="329">
        <f>R60/(AEO!$N$18)^(R$13-$P$13)</f>
        <v>4.4978130793009043</v>
      </c>
      <c r="S62" s="329">
        <f>S60/(AEO!$N$18)^(S$13-$P$13)</f>
        <v>4.5494419613895429</v>
      </c>
      <c r="T62" s="329">
        <f>T60/(AEO!$N$18)^(T$13-$P$13)</f>
        <v>4.6022429782359424</v>
      </c>
      <c r="U62" s="329">
        <f>U60/(AEO!$N$18)^(U$13-$P$13)</f>
        <v>4.6562343497789396</v>
      </c>
      <c r="V62" s="329">
        <f>V60/(AEO!$N$18)^(V$13-$P$13)</f>
        <v>4.7114347186982437</v>
      </c>
      <c r="W62" s="329">
        <f>W60/(AEO!$N$18)^(W$13-$P$13)</f>
        <v>4.7678631576695745</v>
      </c>
      <c r="X62" s="329">
        <f>X60/(AEO!$N$18)^(X$13-$P$13)</f>
        <v>4.8255391767876858</v>
      </c>
      <c r="Y62" s="329">
        <f>Y60/(AEO!$N$18)^(Y$13-$P$13)</f>
        <v>4.8844827311603574</v>
      </c>
      <c r="Z62" s="329">
        <f>Z60/(AEO!$N$18)^(Z$13-$P$13)</f>
        <v>4.9447142286765438</v>
      </c>
      <c r="AA62" s="329">
        <f>AA60/(AEO!$N$18)^(AA$13-$P$13)</f>
        <v>5.0062545379519019</v>
      </c>
      <c r="AB62" s="329">
        <f>AB60/(AEO!$N$18)^(AB$13-$P$13)</f>
        <v>5.0691249964550167</v>
      </c>
      <c r="AC62" s="329">
        <f>AC60/(AEO!$N$18)^(AC$13-$P$13)</f>
        <v>5.1333474188176931</v>
      </c>
      <c r="AD62" s="329">
        <f>AD60/(AEO!$N$18)^(AD$13-$P$13)</f>
        <v>5.1989441053328163</v>
      </c>
      <c r="AE62" s="329">
        <f>AE60/(AEO!$N$18)^(AE$13-$P$13)</f>
        <v>5.2659378506432661</v>
      </c>
      <c r="AF62" s="329">
        <f>AF60/(AEO!$N$18)^(AF$13-$P$13)</f>
        <v>5.3343519526255436</v>
      </c>
      <c r="AG62" s="329">
        <f>AG60/(AEO!$N$18)^(AG$13-$P$13)</f>
        <v>5.4042102214717946</v>
      </c>
      <c r="AH62" s="329">
        <f>AH60/(AEO!$N$18)^(AH$13-$P$13)</f>
        <v>5.4755369889739995</v>
      </c>
      <c r="AI62" s="329">
        <f>AI60/(AEO!$N$18)^(AI$13-$P$13)</f>
        <v>5.5483571180142173</v>
      </c>
      <c r="AJ62" s="329">
        <f>AJ60/(AEO!$N$18)^(AJ$13-$P$13)</f>
        <v>5.6226960122648091</v>
      </c>
      <c r="AK62" s="329">
        <f>AK60/(AEO!$N$18)^(AK$13-$P$13)</f>
        <v>5.6985796261027026</v>
      </c>
      <c r="AL62" s="329">
        <f>AL60/(AEO!$N$18)^(AL$13-$P$13)</f>
        <v>5.7760344747417847</v>
      </c>
      <c r="AM62" s="329">
        <f>AM60/(AEO!$N$18)^(AM$13-$P$13)</f>
        <v>5.8550876445876909</v>
      </c>
      <c r="AP62" s="7">
        <f>ROW()</f>
        <v>62</v>
      </c>
    </row>
    <row r="63" spans="2:42" ht="14" customHeight="1">
      <c r="B63" s="366" t="str">
        <f>CONCATENATE("Row ",AP60, ", deflated by economy-wide price index in 'AEO' tab.")</f>
        <v>Row 60, deflated by economy-wide price index in 'AEO' tab.</v>
      </c>
      <c r="M63"/>
      <c r="Q63" s="270"/>
      <c r="AP63" s="7">
        <f>ROW()</f>
        <v>63</v>
      </c>
    </row>
    <row r="64" spans="2:42" ht="14" customHeight="1">
      <c r="B64" s="32" t="s">
        <v>733</v>
      </c>
      <c r="K64" s="15"/>
      <c r="L64" s="91" t="str">
        <f>CONCATENATE("Calculated as excess of Row ",AP60, " over Row ",AP51, ".")</f>
        <v>Calculated as excess of Row 60 over Row 51.</v>
      </c>
      <c r="Q64" s="343">
        <f t="shared" ref="Q64:AM64" si="12">Q60/Q52-1</f>
        <v>0.2021101162299741</v>
      </c>
      <c r="R64" s="222">
        <f t="shared" si="12"/>
        <v>0.1991302268937134</v>
      </c>
      <c r="S64" s="222">
        <f t="shared" si="12"/>
        <v>0.19617143150059202</v>
      </c>
      <c r="T64" s="222">
        <f t="shared" si="12"/>
        <v>0.19323463209717651</v>
      </c>
      <c r="U64" s="222">
        <f t="shared" si="12"/>
        <v>0.19032067574032063</v>
      </c>
      <c r="V64" s="222">
        <f t="shared" si="12"/>
        <v>0.18743035586676804</v>
      </c>
      <c r="W64" s="222">
        <f t="shared" si="12"/>
        <v>0.18456441370205701</v>
      </c>
      <c r="X64" s="222">
        <f t="shared" si="12"/>
        <v>0.18172353970171984</v>
      </c>
      <c r="Y64" s="222">
        <f t="shared" si="12"/>
        <v>0.17890837501818502</v>
      </c>
      <c r="Z64" s="222">
        <f t="shared" si="12"/>
        <v>0.17611951298720419</v>
      </c>
      <c r="AA64" s="222">
        <f t="shared" si="12"/>
        <v>0.1733575006280248</v>
      </c>
      <c r="AB64" s="222">
        <f t="shared" si="12"/>
        <v>0.1706228401519454</v>
      </c>
      <c r="AC64" s="222">
        <f t="shared" si="12"/>
        <v>0.16791599047426131</v>
      </c>
      <c r="AD64" s="222">
        <f t="shared" si="12"/>
        <v>0.16523736872501038</v>
      </c>
      <c r="AE64" s="222">
        <f t="shared" si="12"/>
        <v>0.16258735175428574</v>
      </c>
      <c r="AF64" s="222">
        <f t="shared" si="12"/>
        <v>0.15996627762824622</v>
      </c>
      <c r="AG64" s="222">
        <f t="shared" si="12"/>
        <v>0.15737444711229909</v>
      </c>
      <c r="AH64" s="222">
        <f t="shared" si="12"/>
        <v>0.15481212513825882</v>
      </c>
      <c r="AI64" s="222">
        <f t="shared" si="12"/>
        <v>0.15227954225260465</v>
      </c>
      <c r="AJ64" s="222">
        <f t="shared" si="12"/>
        <v>0.14977689604325262</v>
      </c>
      <c r="AK64" s="222">
        <f t="shared" si="12"/>
        <v>0.1473043525425568</v>
      </c>
      <c r="AL64" s="222">
        <f t="shared" si="12"/>
        <v>0.1448620476045055</v>
      </c>
      <c r="AM64" s="222">
        <f t="shared" si="12"/>
        <v>0.14245008825435557</v>
      </c>
      <c r="AP64" s="7">
        <f>ROW()</f>
        <v>64</v>
      </c>
    </row>
    <row r="65" spans="1:42" ht="14" customHeight="1">
      <c r="B65" t="s">
        <v>121</v>
      </c>
      <c r="K65" s="20">
        <f>Parameters!$H$38</f>
        <v>21.041653177132002</v>
      </c>
      <c r="L65" s="20">
        <f>Parameters!$H$38</f>
        <v>21.041653177132002</v>
      </c>
      <c r="M65" s="20">
        <f>Parameters!$H$38</f>
        <v>21.041653177132002</v>
      </c>
      <c r="N65" s="20">
        <f>Parameters!$H$38</f>
        <v>21.041653177132002</v>
      </c>
      <c r="O65" s="20">
        <f>Parameters!$H$38</f>
        <v>21.041653177132002</v>
      </c>
      <c r="P65" s="524">
        <f>Parameters!$H$38</f>
        <v>21.041653177132002</v>
      </c>
      <c r="Q65" s="371">
        <f>$K$65*(1-$I$76)^(Summary!Q98/$F$76)</f>
        <v>19.994312868423577</v>
      </c>
      <c r="R65" s="371">
        <f>$K$65*(1-$I$76)^(Summary!R98/$F$76)</f>
        <v>19.995480725379043</v>
      </c>
      <c r="S65" s="371">
        <f>$K$65*(1-$I$76)^(Summary!S98/$F$76)</f>
        <v>19.996647314412314</v>
      </c>
      <c r="T65" s="371">
        <f>$K$65*(1-$I$76)^(Summary!T98/$F$76)</f>
        <v>19.997812636822136</v>
      </c>
      <c r="U65" s="371">
        <f>$K$65*(1-$I$76)^(Summary!U98/$F$76)</f>
        <v>19.998976693906094</v>
      </c>
      <c r="V65" s="371">
        <f>$K$65*(1-$I$76)^(Summary!V98/$F$76)</f>
        <v>20.000139486960627</v>
      </c>
      <c r="W65" s="371">
        <f>$K$65*(1-$I$76)^(Summary!W98/$F$76)</f>
        <v>20.001301017281023</v>
      </c>
      <c r="X65" s="371">
        <f>$K$65*(1-$I$76)^(Summary!X98/$F$76)</f>
        <v>20.002461286161417</v>
      </c>
      <c r="Y65" s="371">
        <f>$K$65*(1-$I$76)^(Summary!Y98/$F$76)</f>
        <v>20.003620294894795</v>
      </c>
      <c r="Z65" s="371">
        <f>$K$65*(1-$I$76)^(Summary!Z98/$F$76)</f>
        <v>20.004778044772994</v>
      </c>
      <c r="AA65" s="371">
        <f>$K$65*(1-$I$76)^(Summary!AA98/$F$76)</f>
        <v>20.005934537086706</v>
      </c>
      <c r="AB65" s="371">
        <f>$K$65*(1-$I$76)^(Summary!AB98/$F$76)</f>
        <v>20.007089773125472</v>
      </c>
      <c r="AC65" s="371">
        <f>$K$65*(1-$I$76)^(Summary!AC98/$F$76)</f>
        <v>20.008243754177688</v>
      </c>
      <c r="AD65" s="371">
        <f>$K$65*(1-$I$76)^(Summary!AD98/$F$76)</f>
        <v>20.009396481530594</v>
      </c>
      <c r="AE65" s="371">
        <f>$K$65*(1-$I$76)^(Summary!AE98/$F$76)</f>
        <v>20.010547956470297</v>
      </c>
      <c r="AF65" s="371">
        <f>$K$65*(1-$I$76)^(Summary!AF98/$F$76)</f>
        <v>20.011698180281755</v>
      </c>
      <c r="AG65" s="371">
        <f>$K$65*(1-$I$76)^(Summary!AG98/$F$76)</f>
        <v>20.012847154248774</v>
      </c>
      <c r="AH65" s="371">
        <f>$K$65*(1-$I$76)^(Summary!AH98/$F$76)</f>
        <v>20.013994879654025</v>
      </c>
      <c r="AI65" s="371">
        <f>$K$65*(1-$I$76)^(Summary!AI98/$F$76)</f>
        <v>20.015141357779026</v>
      </c>
      <c r="AJ65" s="371">
        <f>$K$65*(1-$I$76)^(Summary!AJ98/$F$76)</f>
        <v>20.016286589904162</v>
      </c>
      <c r="AK65" s="371">
        <f>$K$65*(1-$I$76)^(Summary!AK98/$F$76)</f>
        <v>20.017430577308669</v>
      </c>
      <c r="AL65" s="371">
        <f>$K$65*(1-$I$76)^(Summary!AL98/$F$76)</f>
        <v>20.01857332127064</v>
      </c>
      <c r="AM65" s="371">
        <f>$K$65*(1-$I$76)^(Summary!AM98/$F$76)</f>
        <v>20.019714823067037</v>
      </c>
      <c r="AP65" s="7">
        <f>ROW()</f>
        <v>65</v>
      </c>
    </row>
    <row r="66" spans="1:42" ht="14" customHeight="1">
      <c r="B66" s="91" t="str">
        <f>CONCATENATE("Figures reduce baseline emission factor by percentage calculated from Cell I",AP76, " normalized by Cell F",AP76, ".")</f>
        <v>Figures reduce baseline emission factor by percentage calculated from Cell I76 normalized by Cell F76.</v>
      </c>
      <c r="K66" s="20"/>
      <c r="L66" s="20"/>
      <c r="M66" s="20"/>
      <c r="N66" s="20"/>
      <c r="O66" s="20"/>
      <c r="P66" s="27"/>
      <c r="Q66" s="371"/>
      <c r="R66" s="371"/>
      <c r="S66" s="371"/>
      <c r="T66" s="371"/>
      <c r="U66" s="371"/>
      <c r="V66" s="371"/>
      <c r="W66" s="371"/>
      <c r="X66" s="371"/>
      <c r="Y66" s="371"/>
      <c r="Z66" s="371"/>
      <c r="AA66" s="371"/>
      <c r="AB66" s="371"/>
      <c r="AC66" s="371"/>
      <c r="AD66" s="371"/>
      <c r="AE66" s="371"/>
      <c r="AF66" s="371"/>
      <c r="AG66" s="371"/>
      <c r="AH66" s="371"/>
      <c r="AI66" s="371"/>
      <c r="AJ66" s="371"/>
      <c r="AK66" s="371"/>
      <c r="AL66" s="371"/>
      <c r="AM66" s="371"/>
      <c r="AP66" s="7">
        <f>ROW()</f>
        <v>66</v>
      </c>
    </row>
    <row r="67" spans="1:42" s="8" customFormat="1" ht="14" customHeight="1">
      <c r="I67" s="24"/>
      <c r="J67" s="24"/>
      <c r="K67" s="13">
        <f t="shared" ref="K67:AM67" si="13">K13</f>
        <v>2007</v>
      </c>
      <c r="L67" s="13">
        <f t="shared" si="13"/>
        <v>2008</v>
      </c>
      <c r="M67" s="13">
        <f t="shared" si="13"/>
        <v>2009</v>
      </c>
      <c r="N67" s="13">
        <f t="shared" si="13"/>
        <v>2010</v>
      </c>
      <c r="O67" s="13">
        <f t="shared" si="13"/>
        <v>2011</v>
      </c>
      <c r="P67" s="283">
        <f t="shared" si="13"/>
        <v>2012</v>
      </c>
      <c r="Q67" s="13">
        <f t="shared" si="13"/>
        <v>2015</v>
      </c>
      <c r="R67" s="13">
        <f t="shared" si="13"/>
        <v>2016</v>
      </c>
      <c r="S67" s="13">
        <f t="shared" si="13"/>
        <v>2017</v>
      </c>
      <c r="T67" s="13">
        <f t="shared" si="13"/>
        <v>2018</v>
      </c>
      <c r="U67" s="13">
        <f t="shared" si="13"/>
        <v>2019</v>
      </c>
      <c r="V67" s="13">
        <f t="shared" si="13"/>
        <v>2020</v>
      </c>
      <c r="W67" s="13">
        <f t="shared" si="13"/>
        <v>2021</v>
      </c>
      <c r="X67" s="13">
        <f t="shared" si="13"/>
        <v>2022</v>
      </c>
      <c r="Y67" s="13">
        <f t="shared" si="13"/>
        <v>2023</v>
      </c>
      <c r="Z67" s="13">
        <f t="shared" si="13"/>
        <v>2024</v>
      </c>
      <c r="AA67" s="13">
        <f t="shared" si="13"/>
        <v>2025</v>
      </c>
      <c r="AB67" s="13">
        <f t="shared" si="13"/>
        <v>2026</v>
      </c>
      <c r="AC67" s="13">
        <f t="shared" si="13"/>
        <v>2027</v>
      </c>
      <c r="AD67" s="13">
        <f t="shared" si="13"/>
        <v>2028</v>
      </c>
      <c r="AE67" s="13">
        <f t="shared" si="13"/>
        <v>2029</v>
      </c>
      <c r="AF67" s="13">
        <f t="shared" si="13"/>
        <v>2030</v>
      </c>
      <c r="AG67" s="13">
        <f t="shared" si="13"/>
        <v>2031</v>
      </c>
      <c r="AH67" s="13">
        <f t="shared" si="13"/>
        <v>2032</v>
      </c>
      <c r="AI67" s="13">
        <f t="shared" si="13"/>
        <v>2033</v>
      </c>
      <c r="AJ67" s="13">
        <f t="shared" si="13"/>
        <v>2034</v>
      </c>
      <c r="AK67" s="13">
        <f t="shared" si="13"/>
        <v>2035</v>
      </c>
      <c r="AL67" s="13">
        <f t="shared" si="13"/>
        <v>2036</v>
      </c>
      <c r="AM67" s="13">
        <f t="shared" si="13"/>
        <v>2037</v>
      </c>
      <c r="AN67" s="25"/>
      <c r="AP67" s="7">
        <f>ROW()</f>
        <v>67</v>
      </c>
    </row>
    <row r="68" spans="1:42" s="8" customFormat="1" ht="14" customHeight="1">
      <c r="B68" s="8" t="s">
        <v>749</v>
      </c>
      <c r="J68" s="91" t="str">
        <f>CONCATENATE("Row ",AP54, " (sales w/o c-tax), x (one plus Row ",AP64, ") raised to other fuel price-elasticity.")</f>
        <v>Row 54 (sales w/o c-tax), x (one plus Row 64) raised to other fuel price-elasticity.</v>
      </c>
      <c r="M68" s="115"/>
      <c r="N68"/>
      <c r="O68"/>
      <c r="P68" s="276"/>
      <c r="Q68" s="341">
        <f>Q54*(1+Q64)^Parameters!$G$10</f>
        <v>78813.553068909736</v>
      </c>
      <c r="R68" s="115">
        <f>R54*(1+R64)^Parameters!$G$10</f>
        <v>79205.619709861552</v>
      </c>
      <c r="S68" s="115">
        <f>S54*(1+S64)^Parameters!$G$10</f>
        <v>79594.549653567694</v>
      </c>
      <c r="T68" s="115">
        <f>T54*(1+T64)^Parameters!$G$10</f>
        <v>79980.353442613821</v>
      </c>
      <c r="U68" s="115">
        <f>U54*(1+U64)^Parameters!$G$10</f>
        <v>80363.042820074945</v>
      </c>
      <c r="V68" s="115">
        <f>V54*(1+V64)^Parameters!$G$10</f>
        <v>80742.63067314506</v>
      </c>
      <c r="W68" s="115">
        <f>W54*(1+W64)^Parameters!$G$10</f>
        <v>81119.13097755042</v>
      </c>
      <c r="X68" s="115">
        <f>X54*(1+X64)^Parameters!$G$10</f>
        <v>81492.558742822817</v>
      </c>
      <c r="Y68" s="115">
        <f>Y54*(1+Y64)^Parameters!$G$10</f>
        <v>81862.929958501685</v>
      </c>
      <c r="Z68" s="115">
        <f>Z54*(1+Z64)^Parameters!$G$10</f>
        <v>82230.261541328015</v>
      </c>
      <c r="AA68" s="115">
        <f>AA54*(1+AA64)^Parameters!$G$10</f>
        <v>82478.517031681215</v>
      </c>
      <c r="AB68" s="115">
        <f>AB54*(1+AB64)^Parameters!$G$10</f>
        <v>82722.917731373236</v>
      </c>
      <c r="AC68" s="115">
        <f>AC54*(1+AC64)^Parameters!$G$10</f>
        <v>82963.49750166708</v>
      </c>
      <c r="AD68" s="115">
        <f>AD54*(1+AD64)^Parameters!$G$10</f>
        <v>83200.290778957045</v>
      </c>
      <c r="AE68" s="115">
        <f>AE54*(1+AE64)^Parameters!$G$10</f>
        <v>83433.332523373436</v>
      </c>
      <c r="AF68" s="115">
        <f>AF54*(1+AF64)^Parameters!$G$10</f>
        <v>83662.658169035349</v>
      </c>
      <c r="AG68" s="115">
        <f>AG54*(1+AG64)^Parameters!$G$10</f>
        <v>83888.303575960861</v>
      </c>
      <c r="AH68" s="115">
        <f>AH54*(1+AH64)^Parameters!$G$10</f>
        <v>84110.304983638955</v>
      </c>
      <c r="AI68" s="115">
        <f>AI54*(1+AI64)^Parameters!$G$10</f>
        <v>84328.698966262542</v>
      </c>
      <c r="AJ68" s="115">
        <f>AJ54*(1+AJ64)^Parameters!$G$10</f>
        <v>84543.522389618738</v>
      </c>
      <c r="AK68" s="115">
        <f>AK54*(1+AK64)^Parameters!$G$10</f>
        <v>84816.645682832823</v>
      </c>
      <c r="AL68" s="115">
        <f>AL54*(1+AL64)^Parameters!$G$10</f>
        <v>85086.621274522447</v>
      </c>
      <c r="AM68" s="115">
        <f>AM54*(1+AM64)^Parameters!$G$10</f>
        <v>85411.266786848399</v>
      </c>
      <c r="AN68" s="25"/>
      <c r="AP68" s="7">
        <f>ROW()</f>
        <v>68</v>
      </c>
    </row>
    <row r="69" spans="1:42" s="86" customFormat="1" ht="14" customHeight="1">
      <c r="A69" s="8"/>
      <c r="B69" s="8" t="s">
        <v>741</v>
      </c>
      <c r="C69" s="8"/>
      <c r="D69" s="8"/>
      <c r="E69" s="8"/>
      <c r="F69" s="8"/>
      <c r="G69" s="8"/>
      <c r="H69" s="8"/>
      <c r="I69" s="24"/>
      <c r="J69" s="91" t="str">
        <f>CONCATENATE("Product of Rows ",AP68, " and ",AP65, ", with appropriate conversion factor.")</f>
        <v>Product of Rows 68 and 65, with appropriate conversion factor.</v>
      </c>
      <c r="M69" s="178"/>
      <c r="N69"/>
      <c r="O69"/>
      <c r="P69" s="276"/>
      <c r="Q69" s="341">
        <f>Q68*Q65/Parameters!$H$14</f>
        <v>714.65888359722749</v>
      </c>
      <c r="R69" s="115">
        <f>R68*R65/Parameters!$H$14</f>
        <v>718.25598287992693</v>
      </c>
      <c r="S69" s="115">
        <f>S68*S65/Parameters!$H$14</f>
        <v>721.82500570152922</v>
      </c>
      <c r="T69" s="115">
        <f>T68*T65/Parameters!$H$14</f>
        <v>725.36604207356174</v>
      </c>
      <c r="U69" s="115">
        <f>U68*U65/Parameters!$H$14</f>
        <v>728.87919292973072</v>
      </c>
      <c r="V69" s="115">
        <f>V68*V65/Parameters!$H$14</f>
        <v>732.3645696177083</v>
      </c>
      <c r="W69" s="115">
        <f>W68*W65/Parameters!$H$14</f>
        <v>735.8222933978376</v>
      </c>
      <c r="X69" s="115">
        <f>X68*X65/Parameters!$H$14</f>
        <v>739.25249494945513</v>
      </c>
      <c r="Y69" s="115">
        <f>Y68*Y65/Parameters!$H$14</f>
        <v>742.65531388545821</v>
      </c>
      <c r="Z69" s="115">
        <f>Z68*Z65/Parameters!$H$14</f>
        <v>746.03089827569147</v>
      </c>
      <c r="AA69" s="115">
        <f>AA68*AA65/Parameters!$H$14</f>
        <v>748.32644555637421</v>
      </c>
      <c r="AB69" s="115">
        <f>AB68*AB65/Parameters!$H$14</f>
        <v>750.58722963558148</v>
      </c>
      <c r="AC69" s="115">
        <f>AC68*AC65/Parameters!$H$14</f>
        <v>752.81355134352225</v>
      </c>
      <c r="AD69" s="115">
        <f>AD68*AD65/Parameters!$H$14</f>
        <v>755.00571681396173</v>
      </c>
      <c r="AE69" s="115">
        <f>AE68*AE65/Parameters!$H$14</f>
        <v>757.16403701909167</v>
      </c>
      <c r="AF69" s="115">
        <f>AF68*AF65/Parameters!$H$14</f>
        <v>759.28882731919236</v>
      </c>
      <c r="AG69" s="115">
        <f>AG68*AG65/Parameters!$H$14</f>
        <v>761.38040702717717</v>
      </c>
      <c r="AH69" s="115">
        <f>AH68*AH65/Parameters!$H$14</f>
        <v>763.43909898806726</v>
      </c>
      <c r="AI69" s="115">
        <f>AI68*AI65/Parameters!$H$14</f>
        <v>765.46522917339632</v>
      </c>
      <c r="AJ69" s="115">
        <f>AJ68*AJ65/Parameters!$H$14</f>
        <v>767.459126290516</v>
      </c>
      <c r="AK69" s="115">
        <f>AK68*AK65/Parameters!$H$14</f>
        <v>769.98245657881773</v>
      </c>
      <c r="AL69" s="115">
        <f>AL68*AL65/Parameters!$H$14</f>
        <v>772.47744518966624</v>
      </c>
      <c r="AM69" s="115">
        <f>AM68*AM65/Parameters!$H$14</f>
        <v>775.46902664381048</v>
      </c>
      <c r="AP69" s="7">
        <f>ROW()</f>
        <v>69</v>
      </c>
    </row>
    <row r="70" spans="1:42" s="8" customFormat="1" ht="14" customHeight="1">
      <c r="B70" s="8" t="s">
        <v>481</v>
      </c>
      <c r="I70" s="24"/>
      <c r="J70" s="91" t="str">
        <f>CONCATENATE("Row ",AP57, " less Row ",AP69, ".")</f>
        <v>Row 57 less Row 69.</v>
      </c>
      <c r="M70" s="139"/>
      <c r="N70"/>
      <c r="O70"/>
      <c r="P70" s="276"/>
      <c r="Q70" s="339">
        <f>Q69-Q57</f>
        <v>-94.60722040029134</v>
      </c>
      <c r="R70" s="139">
        <f>R69-R57</f>
        <v>-94.027251025225951</v>
      </c>
      <c r="S70" s="139">
        <f t="shared" ref="S70:AM70" si="14">S69-S57</f>
        <v>-93.439172648626595</v>
      </c>
      <c r="T70" s="139">
        <f t="shared" si="14"/>
        <v>-92.843540532672478</v>
      </c>
      <c r="U70" s="139">
        <f t="shared" si="14"/>
        <v>-92.240898228965989</v>
      </c>
      <c r="V70" s="139">
        <f t="shared" si="14"/>
        <v>-91.631777245660487</v>
      </c>
      <c r="W70" s="139">
        <f t="shared" si="14"/>
        <v>-91.016696759162642</v>
      </c>
      <c r="X70" s="139">
        <f t="shared" si="14"/>
        <v>-90.396163368491443</v>
      </c>
      <c r="Y70" s="139">
        <f t="shared" si="14"/>
        <v>-89.770670890352221</v>
      </c>
      <c r="Z70" s="139">
        <f t="shared" si="14"/>
        <v>-89.140700192960367</v>
      </c>
      <c r="AA70" s="139">
        <f t="shared" si="14"/>
        <v>-88.382357611628436</v>
      </c>
      <c r="AB70" s="139">
        <f t="shared" si="14"/>
        <v>-87.622424317589093</v>
      </c>
      <c r="AC70" s="139">
        <f t="shared" si="14"/>
        <v>-86.861350786223625</v>
      </c>
      <c r="AD70" s="139">
        <f t="shared" si="14"/>
        <v>-86.099571797293038</v>
      </c>
      <c r="AE70" s="139">
        <f t="shared" si="14"/>
        <v>-85.337506534546264</v>
      </c>
      <c r="AF70" s="139">
        <f t="shared" si="14"/>
        <v>-84.575558711819667</v>
      </c>
      <c r="AG70" s="139">
        <f t="shared" si="14"/>
        <v>-83.814116723552388</v>
      </c>
      <c r="AH70" s="139">
        <f t="shared" si="14"/>
        <v>-83.053553817693228</v>
      </c>
      <c r="AI70" s="139">
        <f t="shared" si="14"/>
        <v>-82.294228289062858</v>
      </c>
      <c r="AJ70" s="139">
        <f t="shared" si="14"/>
        <v>-81.536483691294848</v>
      </c>
      <c r="AK70" s="139">
        <f t="shared" si="14"/>
        <v>-80.839583007308761</v>
      </c>
      <c r="AL70" s="139">
        <f t="shared" si="14"/>
        <v>-80.14385006232942</v>
      </c>
      <c r="AM70" s="139">
        <f t="shared" si="14"/>
        <v>-79.503380167983437</v>
      </c>
      <c r="AN70" s="139"/>
      <c r="AP70" s="7">
        <f>ROW()</f>
        <v>70</v>
      </c>
    </row>
    <row r="71" spans="1:42" s="8" customFormat="1" ht="14" customHeight="1">
      <c r="B71" s="8" t="s">
        <v>482</v>
      </c>
      <c r="I71" s="24"/>
      <c r="J71" s="91" t="str">
        <f>CONCATENATE("Row ",AP69, " less Cell I",AP58, ".")</f>
        <v>Row 69 less Cell I58.</v>
      </c>
      <c r="M71" s="139"/>
      <c r="N71"/>
      <c r="O71"/>
      <c r="P71" s="276"/>
      <c r="Q71" s="339">
        <f>Q69-$I$57</f>
        <v>-181.55444253288158</v>
      </c>
      <c r="R71" s="139">
        <f>R69-$I$57</f>
        <v>-177.95734325018213</v>
      </c>
      <c r="S71" s="139">
        <f t="shared" ref="S71:AM71" si="15">S69-$I$57</f>
        <v>-174.38832042857985</v>
      </c>
      <c r="T71" s="139">
        <f t="shared" si="15"/>
        <v>-170.84728405654732</v>
      </c>
      <c r="U71" s="139">
        <f t="shared" si="15"/>
        <v>-167.33413320037835</v>
      </c>
      <c r="V71" s="139">
        <f t="shared" si="15"/>
        <v>-163.84875651240077</v>
      </c>
      <c r="W71" s="139">
        <f t="shared" si="15"/>
        <v>-160.39103273227147</v>
      </c>
      <c r="X71" s="139">
        <f t="shared" si="15"/>
        <v>-156.96083118065394</v>
      </c>
      <c r="Y71" s="139">
        <f t="shared" si="15"/>
        <v>-153.55801224465085</v>
      </c>
      <c r="Z71" s="139">
        <f t="shared" si="15"/>
        <v>-150.1824278544176</v>
      </c>
      <c r="AA71" s="139">
        <f t="shared" si="15"/>
        <v>-147.88688057373486</v>
      </c>
      <c r="AB71" s="139">
        <f t="shared" si="15"/>
        <v>-145.62609649452759</v>
      </c>
      <c r="AC71" s="139">
        <f t="shared" si="15"/>
        <v>-143.39977478658682</v>
      </c>
      <c r="AD71" s="139">
        <f t="shared" si="15"/>
        <v>-141.20760931614734</v>
      </c>
      <c r="AE71" s="139">
        <f t="shared" si="15"/>
        <v>-139.0492891110174</v>
      </c>
      <c r="AF71" s="139">
        <f t="shared" si="15"/>
        <v>-136.9244988109167</v>
      </c>
      <c r="AG71" s="139">
        <f t="shared" si="15"/>
        <v>-134.8329191029319</v>
      </c>
      <c r="AH71" s="139">
        <f t="shared" si="15"/>
        <v>-132.77422714204181</v>
      </c>
      <c r="AI71" s="139">
        <f t="shared" si="15"/>
        <v>-130.74809695671274</v>
      </c>
      <c r="AJ71" s="139">
        <f t="shared" si="15"/>
        <v>-128.75419983959307</v>
      </c>
      <c r="AK71" s="139">
        <f t="shared" si="15"/>
        <v>-126.23086955129133</v>
      </c>
      <c r="AL71" s="139">
        <f t="shared" si="15"/>
        <v>-123.73588094044283</v>
      </c>
      <c r="AM71" s="139">
        <f t="shared" si="15"/>
        <v>-120.74429948629859</v>
      </c>
      <c r="AP71" s="7">
        <f>ROW()</f>
        <v>71</v>
      </c>
    </row>
    <row r="72" spans="1:42" s="8" customFormat="1" ht="14" customHeight="1">
      <c r="B72" s="8" t="s">
        <v>585</v>
      </c>
      <c r="I72" s="24"/>
      <c r="J72" s="91" t="str">
        <f>CONCATENATE("Product of Rows ",AP17, " and ",AP69, ", with appropriate conversion factor.")</f>
        <v>Product of Rows 17 and 69, with appropriate conversion factor.</v>
      </c>
      <c r="M72" s="139"/>
      <c r="N72"/>
      <c r="O72"/>
      <c r="P72" s="276"/>
      <c r="Q72" s="342">
        <f t="shared" ref="Q72:AM72" si="16">ROUND(Q69*Q17,-2)/1000</f>
        <v>62.1</v>
      </c>
      <c r="R72" s="350">
        <f t="shared" si="16"/>
        <v>63.4</v>
      </c>
      <c r="S72" s="350">
        <f t="shared" si="16"/>
        <v>64.8</v>
      </c>
      <c r="T72" s="350">
        <f t="shared" si="16"/>
        <v>66.2</v>
      </c>
      <c r="U72" s="350">
        <f t="shared" si="16"/>
        <v>67.599999999999994</v>
      </c>
      <c r="V72" s="350">
        <f t="shared" si="16"/>
        <v>69</v>
      </c>
      <c r="W72" s="350">
        <f t="shared" si="16"/>
        <v>70.400000000000006</v>
      </c>
      <c r="X72" s="350">
        <f t="shared" si="16"/>
        <v>71.900000000000006</v>
      </c>
      <c r="Y72" s="350">
        <f t="shared" si="16"/>
        <v>73.400000000000006</v>
      </c>
      <c r="Z72" s="350">
        <f t="shared" si="16"/>
        <v>75</v>
      </c>
      <c r="AA72" s="350">
        <f t="shared" si="16"/>
        <v>76.400000000000006</v>
      </c>
      <c r="AB72" s="350">
        <f t="shared" si="16"/>
        <v>77.900000000000006</v>
      </c>
      <c r="AC72" s="350">
        <f t="shared" si="16"/>
        <v>79.400000000000006</v>
      </c>
      <c r="AD72" s="350">
        <f t="shared" si="16"/>
        <v>81</v>
      </c>
      <c r="AE72" s="350">
        <f t="shared" si="16"/>
        <v>82.5</v>
      </c>
      <c r="AF72" s="350">
        <f t="shared" si="16"/>
        <v>84.1</v>
      </c>
      <c r="AG72" s="350">
        <f t="shared" si="16"/>
        <v>85.7</v>
      </c>
      <c r="AH72" s="350">
        <f t="shared" si="16"/>
        <v>87.4</v>
      </c>
      <c r="AI72" s="350">
        <f t="shared" si="16"/>
        <v>89</v>
      </c>
      <c r="AJ72" s="350">
        <f t="shared" si="16"/>
        <v>90.7</v>
      </c>
      <c r="AK72" s="350">
        <f t="shared" si="16"/>
        <v>92.5</v>
      </c>
      <c r="AL72" s="350">
        <f t="shared" si="16"/>
        <v>94.3</v>
      </c>
      <c r="AM72" s="350">
        <f t="shared" si="16"/>
        <v>96.2</v>
      </c>
      <c r="AN72" s="25"/>
      <c r="AP72" s="7">
        <f>ROW()</f>
        <v>72</v>
      </c>
    </row>
    <row r="73" spans="1:42" s="8" customFormat="1" ht="14" customHeight="1">
      <c r="B73" s="8" t="s">
        <v>742</v>
      </c>
      <c r="I73" s="24"/>
      <c r="J73" s="91" t="str">
        <f>CONCATENATE("Row ",AP72, " prorated by ratio of Rows ",AP20, " and ",AP17, ".")</f>
        <v>Row 72 prorated by ratio of Rows 20 and 17.</v>
      </c>
      <c r="M73" s="139"/>
      <c r="N73"/>
      <c r="O73"/>
      <c r="P73" s="276"/>
      <c r="Q73" s="342">
        <f t="shared" ref="Q73:AM73" si="17">Q72*Q20/Q17</f>
        <v>0</v>
      </c>
      <c r="R73" s="350">
        <f t="shared" si="17"/>
        <v>0</v>
      </c>
      <c r="S73" s="350">
        <f t="shared" si="17"/>
        <v>0</v>
      </c>
      <c r="T73" s="350">
        <f t="shared" si="17"/>
        <v>0</v>
      </c>
      <c r="U73" s="350">
        <f t="shared" si="17"/>
        <v>0</v>
      </c>
      <c r="V73" s="350">
        <f t="shared" si="17"/>
        <v>0</v>
      </c>
      <c r="W73" s="350">
        <f t="shared" si="17"/>
        <v>0</v>
      </c>
      <c r="X73" s="350">
        <f t="shared" si="17"/>
        <v>0</v>
      </c>
      <c r="Y73" s="350">
        <f t="shared" si="17"/>
        <v>0</v>
      </c>
      <c r="Z73" s="350">
        <f t="shared" si="17"/>
        <v>0</v>
      </c>
      <c r="AA73" s="350">
        <f t="shared" si="17"/>
        <v>0</v>
      </c>
      <c r="AB73" s="350">
        <f t="shared" si="17"/>
        <v>0</v>
      </c>
      <c r="AC73" s="350">
        <f t="shared" si="17"/>
        <v>0</v>
      </c>
      <c r="AD73" s="350">
        <f t="shared" si="17"/>
        <v>0</v>
      </c>
      <c r="AE73" s="350">
        <f t="shared" si="17"/>
        <v>0</v>
      </c>
      <c r="AF73" s="350">
        <f t="shared" si="17"/>
        <v>0</v>
      </c>
      <c r="AG73" s="350">
        <f t="shared" si="17"/>
        <v>0</v>
      </c>
      <c r="AH73" s="350">
        <f t="shared" si="17"/>
        <v>0</v>
      </c>
      <c r="AI73" s="350">
        <f t="shared" si="17"/>
        <v>0</v>
      </c>
      <c r="AJ73" s="350">
        <f t="shared" si="17"/>
        <v>0</v>
      </c>
      <c r="AK73" s="350">
        <f t="shared" si="17"/>
        <v>0</v>
      </c>
      <c r="AL73" s="350">
        <f t="shared" si="17"/>
        <v>0</v>
      </c>
      <c r="AM73" s="350">
        <f t="shared" si="17"/>
        <v>0</v>
      </c>
      <c r="AP73" s="7">
        <f>ROW()</f>
        <v>73</v>
      </c>
    </row>
    <row r="74" spans="1:42" s="8" customFormat="1" ht="14" customHeight="1">
      <c r="B74" s="8" t="s">
        <v>743</v>
      </c>
      <c r="I74" s="24"/>
      <c r="J74" s="91" t="str">
        <f>CONCATENATE("Sum of Rows ",AP72, " and ",AP73, ".")</f>
        <v>Sum of Rows 72 and 73.</v>
      </c>
      <c r="M74" s="139"/>
      <c r="N74"/>
      <c r="O74"/>
      <c r="P74" s="276"/>
      <c r="Q74" s="342">
        <f>Q72+Q73</f>
        <v>62.1</v>
      </c>
      <c r="R74" s="350">
        <f t="shared" ref="R74:AM74" si="18">R72+R73</f>
        <v>63.4</v>
      </c>
      <c r="S74" s="350">
        <f t="shared" si="18"/>
        <v>64.8</v>
      </c>
      <c r="T74" s="350">
        <f t="shared" si="18"/>
        <v>66.2</v>
      </c>
      <c r="U74" s="350">
        <f t="shared" si="18"/>
        <v>67.599999999999994</v>
      </c>
      <c r="V74" s="350">
        <f t="shared" si="18"/>
        <v>69</v>
      </c>
      <c r="W74" s="350">
        <f t="shared" si="18"/>
        <v>70.400000000000006</v>
      </c>
      <c r="X74" s="350">
        <f t="shared" si="18"/>
        <v>71.900000000000006</v>
      </c>
      <c r="Y74" s="350">
        <f t="shared" si="18"/>
        <v>73.400000000000006</v>
      </c>
      <c r="Z74" s="350">
        <f t="shared" si="18"/>
        <v>75</v>
      </c>
      <c r="AA74" s="350">
        <f t="shared" si="18"/>
        <v>76.400000000000006</v>
      </c>
      <c r="AB74" s="350">
        <f t="shared" si="18"/>
        <v>77.900000000000006</v>
      </c>
      <c r="AC74" s="350">
        <f t="shared" si="18"/>
        <v>79.400000000000006</v>
      </c>
      <c r="AD74" s="350">
        <f t="shared" si="18"/>
        <v>81</v>
      </c>
      <c r="AE74" s="350">
        <f t="shared" si="18"/>
        <v>82.5</v>
      </c>
      <c r="AF74" s="350">
        <f t="shared" si="18"/>
        <v>84.1</v>
      </c>
      <c r="AG74" s="350">
        <f t="shared" si="18"/>
        <v>85.7</v>
      </c>
      <c r="AH74" s="350">
        <f t="shared" si="18"/>
        <v>87.4</v>
      </c>
      <c r="AI74" s="350">
        <f t="shared" si="18"/>
        <v>89</v>
      </c>
      <c r="AJ74" s="350">
        <f t="shared" si="18"/>
        <v>90.7</v>
      </c>
      <c r="AK74" s="350">
        <f t="shared" si="18"/>
        <v>92.5</v>
      </c>
      <c r="AL74" s="350">
        <f t="shared" si="18"/>
        <v>94.3</v>
      </c>
      <c r="AM74" s="350">
        <f t="shared" si="18"/>
        <v>96.2</v>
      </c>
      <c r="AN74" s="25"/>
      <c r="AP74" s="7">
        <f>ROW()</f>
        <v>74</v>
      </c>
    </row>
    <row r="75" spans="1:42" s="8" customFormat="1" ht="14" customHeight="1">
      <c r="I75" s="24"/>
      <c r="J75" s="24"/>
      <c r="K75" s="13"/>
      <c r="L75" s="13"/>
      <c r="M75" s="13"/>
      <c r="N75" s="13"/>
      <c r="O75" s="13"/>
      <c r="P75" s="27"/>
      <c r="Q75" s="13"/>
      <c r="R75" s="13"/>
      <c r="S75" s="13"/>
      <c r="T75" s="13"/>
      <c r="U75" s="13"/>
      <c r="V75" s="13"/>
      <c r="W75" s="13"/>
      <c r="X75" s="13"/>
      <c r="Y75" s="13"/>
      <c r="Z75" s="13"/>
      <c r="AA75" s="13"/>
      <c r="AB75" s="13"/>
      <c r="AC75" s="13"/>
      <c r="AD75" s="13"/>
      <c r="AE75" s="13"/>
      <c r="AF75" s="13"/>
      <c r="AG75" s="13"/>
      <c r="AH75" s="13"/>
      <c r="AI75" s="13"/>
      <c r="AJ75" s="13"/>
      <c r="AK75" s="13"/>
      <c r="AL75" s="13"/>
      <c r="AM75" s="13"/>
      <c r="AN75" s="25"/>
      <c r="AP75" s="7">
        <f>ROW()</f>
        <v>75</v>
      </c>
    </row>
    <row r="76" spans="1:42" ht="14" customHeight="1">
      <c r="B76" s="444" t="s">
        <v>672</v>
      </c>
      <c r="C76" s="71"/>
      <c r="D76" s="71"/>
      <c r="E76" s="71"/>
      <c r="F76" s="445">
        <v>10</v>
      </c>
      <c r="G76" s="446" t="s">
        <v>26</v>
      </c>
      <c r="H76" s="71"/>
      <c r="I76" s="130">
        <v>0.01</v>
      </c>
      <c r="J76" s="130"/>
      <c r="K76" s="71"/>
      <c r="L76" s="71"/>
      <c r="P76" s="27"/>
      <c r="AP76" s="7">
        <f>ROW()</f>
        <v>76</v>
      </c>
    </row>
    <row r="77" spans="1:42" ht="14" customHeight="1">
      <c r="B77" s="206" t="s">
        <v>90</v>
      </c>
      <c r="C77" s="71"/>
      <c r="D77" s="71"/>
      <c r="E77" s="71"/>
      <c r="F77" s="71"/>
      <c r="G77" s="71"/>
      <c r="H77" s="131"/>
      <c r="I77" s="131"/>
      <c r="J77" s="131"/>
      <c r="K77" s="71"/>
      <c r="L77" s="71"/>
      <c r="P77" s="27"/>
      <c r="AP77" s="7">
        <f>ROW()</f>
        <v>77</v>
      </c>
    </row>
    <row r="78" spans="1:42" s="8" customFormat="1" ht="14" customHeight="1">
      <c r="H78" s="24"/>
      <c r="I78" s="24"/>
      <c r="J78" s="24"/>
      <c r="M78" s="139"/>
      <c r="N78" s="205"/>
      <c r="O78" s="205"/>
      <c r="P78" s="438"/>
      <c r="Q78" s="25"/>
      <c r="R78" s="25"/>
      <c r="S78" s="25"/>
      <c r="T78" s="25"/>
      <c r="U78" s="25"/>
      <c r="V78" s="25"/>
      <c r="W78" s="25"/>
      <c r="X78" s="25"/>
      <c r="Y78" s="25"/>
      <c r="Z78" s="25"/>
      <c r="AA78" s="25"/>
      <c r="AB78" s="25"/>
      <c r="AC78" s="25"/>
      <c r="AD78" s="25"/>
      <c r="AE78" s="25"/>
      <c r="AF78" s="25"/>
      <c r="AG78" s="25"/>
      <c r="AH78" s="25"/>
      <c r="AI78" s="25"/>
      <c r="AJ78" s="25"/>
      <c r="AK78" s="25"/>
      <c r="AL78" s="25"/>
      <c r="AM78" s="25"/>
      <c r="AP78" s="7">
        <f>ROW()</f>
        <v>78</v>
      </c>
    </row>
    <row r="79" spans="1:42" ht="14" customHeight="1">
      <c r="B79" s="55" t="s">
        <v>118</v>
      </c>
      <c r="H79" s="56">
        <f>-Parameters!G10</f>
        <v>0.5</v>
      </c>
      <c r="I79" s="56"/>
      <c r="J79" s="56"/>
      <c r="P79" s="27"/>
      <c r="AP79" s="7">
        <f>ROW()</f>
        <v>79</v>
      </c>
    </row>
    <row r="80" spans="1:42" ht="14" customHeight="1">
      <c r="B80" s="206" t="s">
        <v>620</v>
      </c>
      <c r="C80" s="107"/>
      <c r="D80" s="107"/>
      <c r="E80" s="107"/>
      <c r="F80" s="107"/>
      <c r="G80" s="107"/>
      <c r="H80" s="107"/>
      <c r="I80" s="107"/>
      <c r="J80" s="107"/>
      <c r="K80" s="107"/>
      <c r="L80" s="107"/>
      <c r="M80" s="107"/>
      <c r="N80" s="135"/>
      <c r="O80" s="135"/>
      <c r="P80" s="439"/>
      <c r="AP80" s="7">
        <f>ROW()</f>
        <v>80</v>
      </c>
    </row>
    <row r="81" spans="1:42" ht="14" customHeight="1">
      <c r="C81" s="107"/>
      <c r="D81" s="107"/>
      <c r="E81" s="107"/>
      <c r="F81" s="107"/>
      <c r="G81" s="107"/>
      <c r="H81" s="107"/>
      <c r="I81" s="107"/>
      <c r="J81" s="107"/>
      <c r="K81" s="107"/>
      <c r="L81" s="107"/>
      <c r="M81" s="107"/>
      <c r="N81" s="135"/>
      <c r="O81" s="135"/>
      <c r="P81" s="439"/>
      <c r="AP81" s="7">
        <f>ROW()</f>
        <v>81</v>
      </c>
    </row>
    <row r="82" spans="1:42" ht="14" customHeight="1">
      <c r="B82" s="107"/>
      <c r="C82" s="71"/>
      <c r="D82" s="71"/>
      <c r="E82" s="71"/>
      <c r="F82" s="71"/>
      <c r="G82" s="71"/>
      <c r="H82" s="131"/>
      <c r="I82" s="131"/>
      <c r="J82" s="131"/>
      <c r="K82" s="71"/>
      <c r="L82" s="71"/>
      <c r="P82" s="27"/>
      <c r="AP82" s="7">
        <f>ROW()</f>
        <v>82</v>
      </c>
    </row>
    <row r="83" spans="1:42" ht="14" customHeight="1">
      <c r="B83" s="113" t="s">
        <v>123</v>
      </c>
      <c r="C83" s="71"/>
      <c r="D83" s="71" t="s">
        <v>91</v>
      </c>
      <c r="E83" s="71"/>
      <c r="F83" s="71"/>
      <c r="G83" s="71"/>
      <c r="H83" s="71"/>
      <c r="I83" s="71"/>
      <c r="J83" s="71"/>
      <c r="K83" s="71"/>
      <c r="L83" s="71"/>
      <c r="P83" s="27"/>
      <c r="AP83" s="7">
        <f>ROW()</f>
        <v>83</v>
      </c>
    </row>
    <row r="84" spans="1:42" ht="14" customHeight="1">
      <c r="B84" s="71"/>
      <c r="C84" s="71"/>
      <c r="D84" s="71"/>
      <c r="E84" s="71"/>
      <c r="F84" s="71"/>
      <c r="G84" s="71"/>
      <c r="H84" s="71"/>
      <c r="I84" s="71"/>
      <c r="J84" s="71"/>
      <c r="K84" s="71"/>
      <c r="L84" s="71"/>
      <c r="P84" s="27"/>
      <c r="AP84" s="7">
        <f>ROW()</f>
        <v>84</v>
      </c>
    </row>
    <row r="85" spans="1:42" ht="14" customHeight="1">
      <c r="B85" s="738" t="s">
        <v>754</v>
      </c>
      <c r="C85" s="738"/>
      <c r="D85" s="738"/>
      <c r="E85" s="738"/>
      <c r="F85" s="738"/>
      <c r="G85" s="738"/>
      <c r="H85" s="738"/>
      <c r="I85" s="135"/>
      <c r="J85" s="135"/>
      <c r="K85" s="71"/>
      <c r="L85" s="71"/>
      <c r="P85" s="27"/>
      <c r="AP85" s="7">
        <f>ROW()</f>
        <v>85</v>
      </c>
    </row>
    <row r="86" spans="1:42" ht="14" customHeight="1">
      <c r="B86" s="738"/>
      <c r="C86" s="738"/>
      <c r="D86" s="738"/>
      <c r="E86" s="738"/>
      <c r="F86" s="738"/>
      <c r="G86" s="738"/>
      <c r="H86" s="738"/>
      <c r="I86" s="135"/>
      <c r="J86" s="135"/>
      <c r="K86" s="71"/>
      <c r="L86" s="71"/>
      <c r="P86" s="27"/>
      <c r="AP86" s="7">
        <f>ROW()</f>
        <v>86</v>
      </c>
    </row>
    <row r="87" spans="1:42" ht="14" customHeight="1">
      <c r="B87" s="71"/>
      <c r="C87" s="71"/>
      <c r="D87" s="71"/>
      <c r="E87" s="71"/>
      <c r="F87" s="71"/>
      <c r="G87" s="71"/>
      <c r="H87" s="71"/>
      <c r="I87" s="71"/>
      <c r="J87" s="71"/>
      <c r="K87" s="71"/>
      <c r="L87" s="71"/>
      <c r="P87" s="27"/>
      <c r="AP87" s="7">
        <f>ROW()</f>
        <v>87</v>
      </c>
    </row>
    <row r="88" spans="1:42" ht="14" customHeight="1">
      <c r="B88" s="166" t="s">
        <v>124</v>
      </c>
      <c r="C88" s="71"/>
      <c r="D88" s="71"/>
      <c r="E88" s="71"/>
      <c r="F88" s="188"/>
      <c r="G88" s="188">
        <f>HLOOKUP(10,Q15:AM43,29)</f>
        <v>2024</v>
      </c>
      <c r="H88" s="71"/>
      <c r="I88" s="71"/>
      <c r="J88" s="71"/>
      <c r="K88" s="71"/>
      <c r="L88" s="71"/>
      <c r="P88" s="27"/>
      <c r="AP88" s="7">
        <f>ROW()</f>
        <v>88</v>
      </c>
    </row>
    <row r="89" spans="1:42" ht="14" customHeight="1">
      <c r="B89" s="71"/>
      <c r="C89" s="71"/>
      <c r="D89" s="71"/>
      <c r="E89" s="71"/>
      <c r="F89" s="71"/>
      <c r="G89" s="71"/>
      <c r="H89" s="71"/>
      <c r="I89" s="71"/>
      <c r="J89" s="71"/>
      <c r="K89" s="71"/>
      <c r="L89" s="71"/>
      <c r="P89" s="27"/>
      <c r="AP89" s="7">
        <f>ROW()</f>
        <v>89</v>
      </c>
    </row>
    <row r="90" spans="1:42" ht="14" customHeight="1">
      <c r="B90" s="449" t="s">
        <v>635</v>
      </c>
      <c r="C90" s="71"/>
      <c r="D90" s="71"/>
      <c r="E90" s="71"/>
      <c r="F90" s="71"/>
      <c r="G90" s="189">
        <f>HLOOKUP($G$88,Q43:AM54,12)</f>
        <v>89177.932464759637</v>
      </c>
      <c r="H90" s="71"/>
      <c r="I90" s="71"/>
      <c r="J90" s="71"/>
      <c r="K90" s="71"/>
      <c r="L90" s="71"/>
      <c r="P90" s="27"/>
      <c r="AP90" s="7">
        <f>ROW()</f>
        <v>90</v>
      </c>
    </row>
    <row r="91" spans="1:42" ht="14" customHeight="1">
      <c r="A91" s="13"/>
      <c r="B91" s="449" t="s">
        <v>636</v>
      </c>
      <c r="C91" s="71"/>
      <c r="D91" s="71"/>
      <c r="E91" s="71"/>
      <c r="F91" s="71"/>
      <c r="G91" s="189">
        <f>HLOOKUP($G$88,Q67:AM68,2)</f>
        <v>82230.261541328015</v>
      </c>
      <c r="H91" s="71"/>
      <c r="I91" s="71"/>
      <c r="J91" s="71"/>
      <c r="K91" s="71"/>
      <c r="L91" s="71"/>
      <c r="P91" s="27"/>
      <c r="AP91" s="7">
        <f>ROW()</f>
        <v>91</v>
      </c>
    </row>
    <row r="92" spans="1:42" s="13" customFormat="1" ht="14" customHeight="1">
      <c r="A92"/>
      <c r="B92" s="166" t="s">
        <v>7</v>
      </c>
      <c r="C92" s="166"/>
      <c r="D92" s="166"/>
      <c r="E92" s="166"/>
      <c r="F92" s="166"/>
      <c r="G92" s="190">
        <f>G91/G90</f>
        <v>0.92209203856372057</v>
      </c>
      <c r="H92" s="166"/>
      <c r="I92" s="166"/>
      <c r="J92" s="166"/>
      <c r="K92" s="166"/>
      <c r="L92" s="166"/>
      <c r="M92" s="166"/>
      <c r="N92" s="166"/>
      <c r="O92" s="166"/>
      <c r="P92" s="283"/>
      <c r="AP92" s="7">
        <f>ROW()</f>
        <v>92</v>
      </c>
    </row>
    <row r="93" spans="1:42" ht="14" customHeight="1">
      <c r="B93" s="71"/>
      <c r="C93" s="71"/>
      <c r="D93" s="71"/>
      <c r="E93" s="71"/>
      <c r="F93" s="71"/>
      <c r="G93" s="71"/>
      <c r="H93" s="71"/>
      <c r="I93" s="71"/>
      <c r="J93" s="71"/>
      <c r="K93" s="71"/>
      <c r="L93" s="71"/>
      <c r="P93" s="27"/>
      <c r="AP93" s="7">
        <f>ROW()</f>
        <v>93</v>
      </c>
    </row>
    <row r="94" spans="1:42" ht="14" customHeight="1">
      <c r="B94" s="71" t="s">
        <v>2</v>
      </c>
      <c r="C94" s="71"/>
      <c r="D94" s="71"/>
      <c r="E94" s="71"/>
      <c r="F94" s="71"/>
      <c r="G94" s="393">
        <f>P65</f>
        <v>21.041653177132002</v>
      </c>
      <c r="H94" s="71"/>
      <c r="I94" s="71"/>
      <c r="J94" s="71"/>
      <c r="K94" s="71"/>
      <c r="L94" s="71"/>
      <c r="P94" s="27"/>
      <c r="AP94" s="7">
        <f>ROW()</f>
        <v>94</v>
      </c>
    </row>
    <row r="95" spans="1:42" ht="14" customHeight="1">
      <c r="A95" s="13"/>
      <c r="B95" s="71" t="s">
        <v>3</v>
      </c>
      <c r="C95" s="71"/>
      <c r="D95" s="71"/>
      <c r="E95" s="71"/>
      <c r="F95" s="71"/>
      <c r="G95" s="393">
        <f>HLOOKUP($G$88,Q43:AM65,23)</f>
        <v>20.004778044772994</v>
      </c>
      <c r="H95" s="71"/>
      <c r="I95" s="71"/>
      <c r="J95" s="71"/>
      <c r="K95" s="71"/>
      <c r="L95" s="71"/>
      <c r="P95" s="27"/>
      <c r="AP95" s="7">
        <f>ROW()</f>
        <v>95</v>
      </c>
    </row>
    <row r="96" spans="1:42" s="13" customFormat="1" ht="14" customHeight="1">
      <c r="A96"/>
      <c r="B96" s="166" t="s">
        <v>7</v>
      </c>
      <c r="C96" s="166"/>
      <c r="D96" s="166"/>
      <c r="E96" s="166"/>
      <c r="F96" s="166"/>
      <c r="G96" s="190">
        <f>G95/G94</f>
        <v>0.95072273439589439</v>
      </c>
      <c r="H96" s="166"/>
      <c r="I96" s="166"/>
      <c r="J96" s="166"/>
      <c r="K96" s="166"/>
      <c r="L96" s="166"/>
      <c r="M96" s="166"/>
      <c r="N96" s="166"/>
      <c r="O96" s="166"/>
      <c r="P96" s="283"/>
      <c r="AP96" s="7">
        <f>ROW()</f>
        <v>96</v>
      </c>
    </row>
    <row r="97" spans="1:42" ht="14" customHeight="1">
      <c r="B97" s="71"/>
      <c r="C97" s="71"/>
      <c r="D97" s="71"/>
      <c r="E97" s="71"/>
      <c r="F97" s="71"/>
      <c r="G97" s="125"/>
      <c r="H97" s="71"/>
      <c r="I97" s="71"/>
      <c r="J97" s="71"/>
      <c r="K97" s="71"/>
      <c r="L97" s="71"/>
      <c r="P97" s="27"/>
      <c r="AP97" s="7">
        <f>ROW()</f>
        <v>97</v>
      </c>
    </row>
    <row r="98" spans="1:42" ht="14" customHeight="1">
      <c r="B98" s="107" t="s">
        <v>165</v>
      </c>
      <c r="C98" s="71"/>
      <c r="D98" s="71"/>
      <c r="E98" s="71"/>
      <c r="F98" s="71"/>
      <c r="G98" s="125"/>
      <c r="H98" s="71"/>
      <c r="I98" s="71"/>
      <c r="J98" s="71"/>
      <c r="K98" s="71"/>
      <c r="L98" s="71"/>
      <c r="P98" s="27"/>
      <c r="AP98" s="7">
        <f>ROW()</f>
        <v>98</v>
      </c>
    </row>
    <row r="99" spans="1:42" ht="14" customHeight="1">
      <c r="B99" s="32" t="s">
        <v>621</v>
      </c>
      <c r="C99" s="71"/>
      <c r="D99" s="71"/>
      <c r="E99" s="71"/>
      <c r="F99" s="71"/>
      <c r="G99" s="393">
        <f>HLOOKUP($G$88,Q43:AM57,15)</f>
        <v>835.17159846865184</v>
      </c>
      <c r="H99" s="71"/>
      <c r="I99" s="71"/>
      <c r="J99" s="71"/>
      <c r="K99" s="71"/>
      <c r="L99" s="71"/>
      <c r="P99" s="27"/>
      <c r="AP99" s="7">
        <f>ROW()</f>
        <v>99</v>
      </c>
    </row>
    <row r="100" spans="1:42" ht="14" customHeight="1">
      <c r="A100" s="13"/>
      <c r="B100" s="32" t="s">
        <v>622</v>
      </c>
      <c r="C100" s="71"/>
      <c r="D100" s="71"/>
      <c r="E100" s="71"/>
      <c r="F100" s="71"/>
      <c r="G100" s="393">
        <f>HLOOKUP($G$88,Q67:AM69,3)</f>
        <v>746.03089827569147</v>
      </c>
      <c r="H100" s="71"/>
      <c r="I100" s="71"/>
      <c r="J100" s="71"/>
      <c r="K100" s="71"/>
      <c r="L100" s="71"/>
      <c r="P100" s="27"/>
      <c r="AP100" s="7">
        <f>ROW()</f>
        <v>100</v>
      </c>
    </row>
    <row r="101" spans="1:42" ht="14" customHeight="1">
      <c r="A101" s="13"/>
      <c r="B101" s="166" t="s">
        <v>7</v>
      </c>
      <c r="C101" s="166"/>
      <c r="D101" s="166"/>
      <c r="E101" s="166"/>
      <c r="F101" s="166"/>
      <c r="G101" s="528">
        <f>G100/G99</f>
        <v>0.89326660490322429</v>
      </c>
      <c r="H101" s="889" t="s">
        <v>753</v>
      </c>
      <c r="I101" s="71"/>
      <c r="J101" s="71"/>
      <c r="K101" s="71"/>
      <c r="L101" s="71"/>
      <c r="P101" s="27"/>
      <c r="AP101" s="7">
        <f>ROW()</f>
        <v>101</v>
      </c>
    </row>
    <row r="102" spans="1:42" ht="14" customHeight="1">
      <c r="A102" s="13"/>
      <c r="B102" s="71"/>
      <c r="C102" s="71"/>
      <c r="D102" s="71"/>
      <c r="E102" s="71"/>
      <c r="F102" s="71"/>
      <c r="G102" s="334"/>
      <c r="H102" s="890"/>
      <c r="I102" s="71"/>
      <c r="J102" s="71"/>
      <c r="K102" s="71"/>
      <c r="L102" s="71"/>
      <c r="P102" s="27"/>
      <c r="AP102" s="7">
        <f>ROW()</f>
        <v>102</v>
      </c>
    </row>
    <row r="103" spans="1:42" ht="14" customHeight="1">
      <c r="B103" s="166" t="s">
        <v>6</v>
      </c>
      <c r="C103" s="166"/>
      <c r="D103" s="166"/>
      <c r="E103" s="166"/>
      <c r="F103" s="166"/>
      <c r="G103" s="529">
        <f>G96*G92</f>
        <v>0.87665386426798497</v>
      </c>
      <c r="H103" s="891"/>
      <c r="I103" s="71"/>
      <c r="J103" s="71"/>
      <c r="K103" s="71"/>
      <c r="L103" s="71"/>
      <c r="P103" s="27"/>
      <c r="AP103" s="7">
        <f>ROW()</f>
        <v>103</v>
      </c>
    </row>
    <row r="104" spans="1:42" ht="14" customHeight="1">
      <c r="B104" s="71"/>
      <c r="C104" s="71"/>
      <c r="D104" s="71"/>
      <c r="E104" s="71"/>
      <c r="F104" s="71"/>
      <c r="G104" s="125"/>
      <c r="H104" s="71"/>
      <c r="I104" s="71"/>
      <c r="J104" s="71"/>
      <c r="K104" s="71"/>
      <c r="L104" s="71"/>
      <c r="P104" s="27"/>
      <c r="AP104" s="7">
        <f>ROW()</f>
        <v>104</v>
      </c>
    </row>
    <row r="105" spans="1:42" ht="14" customHeight="1">
      <c r="B105" s="71" t="s">
        <v>127</v>
      </c>
      <c r="C105" s="71"/>
      <c r="D105" s="71"/>
      <c r="E105" s="71"/>
      <c r="F105" s="71"/>
      <c r="G105" s="125"/>
      <c r="H105" s="71"/>
      <c r="I105" s="71"/>
      <c r="J105" s="71"/>
      <c r="K105" s="71"/>
      <c r="L105" s="71"/>
      <c r="P105" s="27"/>
      <c r="AP105" s="7">
        <f>ROW()</f>
        <v>105</v>
      </c>
    </row>
    <row r="106" spans="1:42" ht="14" customHeight="1">
      <c r="B106" s="71" t="s">
        <v>128</v>
      </c>
      <c r="C106" s="71"/>
      <c r="D106" s="71"/>
      <c r="E106" s="71"/>
      <c r="F106" s="71"/>
      <c r="G106" s="163">
        <f>(1-G92)/(1-G96)</f>
        <v>1.5810122676488041</v>
      </c>
      <c r="H106" s="71"/>
      <c r="I106" s="71"/>
      <c r="J106" s="71"/>
      <c r="K106" s="71"/>
      <c r="L106" s="71"/>
      <c r="P106" s="27"/>
      <c r="AP106" s="7">
        <f>ROW()</f>
        <v>106</v>
      </c>
    </row>
    <row r="107" spans="1:42" ht="14" customHeight="1">
      <c r="P107" s="27"/>
      <c r="AP107" s="7">
        <f>ROW()</f>
        <v>107</v>
      </c>
    </row>
    <row r="108" spans="1:42" ht="14" customHeight="1">
      <c r="B108" s="40" t="s">
        <v>129</v>
      </c>
      <c r="C108" s="41"/>
      <c r="D108" s="41"/>
      <c r="E108" s="41"/>
      <c r="F108" s="41"/>
      <c r="G108" s="42">
        <f>G106/(1+G106)</f>
        <v>0.61255511547375996</v>
      </c>
      <c r="P108" s="27"/>
      <c r="AP108" s="7">
        <f>ROW()</f>
        <v>108</v>
      </c>
    </row>
    <row r="109" spans="1:42" ht="14" customHeight="1">
      <c r="B109" s="43" t="s">
        <v>130</v>
      </c>
      <c r="C109" s="44"/>
      <c r="D109" s="44"/>
      <c r="E109" s="44"/>
      <c r="F109" s="44"/>
      <c r="G109" s="45">
        <f>1-G108</f>
        <v>0.38744488452624004</v>
      </c>
      <c r="P109" s="27"/>
      <c r="AP109" s="7">
        <f>ROW()</f>
        <v>109</v>
      </c>
    </row>
    <row r="110" spans="1:42" ht="14" customHeight="1">
      <c r="AP110" s="7">
        <f>ROW()</f>
        <v>110</v>
      </c>
    </row>
    <row r="111" spans="1:42" ht="14" customHeight="1">
      <c r="B111" s="32" t="s">
        <v>85</v>
      </c>
      <c r="G111" s="38">
        <f>G99-G100</f>
        <v>89.140700192960367</v>
      </c>
      <c r="AP111" s="7">
        <f>ROW()</f>
        <v>111</v>
      </c>
    </row>
    <row r="112" spans="1:42" ht="14" customHeight="1">
      <c r="B112" s="91" t="str">
        <f>CONCATENATE("Difference between Rows ",AP99," and ",AP100, ".")</f>
        <v>Difference between Rows 99 and 100.</v>
      </c>
      <c r="AP112" s="7">
        <f>ROW()</f>
        <v>112</v>
      </c>
    </row>
    <row r="113" spans="2:42" ht="14" customHeight="1">
      <c r="B113" s="32" t="s">
        <v>910</v>
      </c>
      <c r="G113" s="38">
        <f>G108*$G$111</f>
        <v>54.603591900110651</v>
      </c>
      <c r="AP113" s="7">
        <f>ROW()</f>
        <v>113</v>
      </c>
    </row>
    <row r="114" spans="2:42" ht="14" customHeight="1">
      <c r="B114" s="32" t="s">
        <v>911</v>
      </c>
      <c r="G114" s="38">
        <f>G109*$G$111</f>
        <v>34.537108292849716</v>
      </c>
      <c r="AP114" s="7">
        <f>ROW()</f>
        <v>114</v>
      </c>
    </row>
    <row r="115" spans="2:42" ht="14" customHeight="1">
      <c r="B115" s="91" t="str">
        <f>CONCATENATE("Product of Rows ",AP111," and Rows ",AP108, " and ",AP109, ", respectively.")</f>
        <v>Product of Rows 111 and Rows 108 and 109, respectively.</v>
      </c>
      <c r="AP115" s="7">
        <f>ROW()</f>
        <v>115</v>
      </c>
    </row>
    <row r="116" spans="2:42" ht="14" customHeight="1">
      <c r="AP116" s="7">
        <f>ROW()</f>
        <v>116</v>
      </c>
    </row>
    <row r="117" spans="2:42" ht="14" customHeight="1">
      <c r="AP117" s="7">
        <f>ROW()</f>
        <v>117</v>
      </c>
    </row>
    <row r="118" spans="2:42" ht="14" customHeight="1">
      <c r="AP118" s="7">
        <f>ROW()</f>
        <v>118</v>
      </c>
    </row>
    <row r="119" spans="2:42" ht="14" customHeight="1">
      <c r="AP119" s="7">
        <f>ROW()</f>
        <v>119</v>
      </c>
    </row>
    <row r="120" spans="2:42" ht="14" customHeight="1">
      <c r="AP120" s="7">
        <f>ROW()</f>
        <v>120</v>
      </c>
    </row>
  </sheetData>
  <mergeCells count="14">
    <mergeCell ref="Q3:R5"/>
    <mergeCell ref="O9:O12"/>
    <mergeCell ref="P9:P12"/>
    <mergeCell ref="Q9:Q12"/>
    <mergeCell ref="H101:H103"/>
    <mergeCell ref="B85:H86"/>
    <mergeCell ref="G26:H31"/>
    <mergeCell ref="B55:P56"/>
    <mergeCell ref="N9:N12"/>
    <mergeCell ref="B3:I6"/>
    <mergeCell ref="B9:H10"/>
    <mergeCell ref="K9:K12"/>
    <mergeCell ref="L9:L12"/>
    <mergeCell ref="M9:M12"/>
  </mergeCells>
  <pageMargins left="0.7" right="0.7" top="0.75" bottom="0.75" header="0.3" footer="0.3"/>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16"/>
  <sheetViews>
    <sheetView workbookViewId="0"/>
  </sheetViews>
  <sheetFormatPr baseColWidth="10" defaultColWidth="8.83203125" defaultRowHeight="14" customHeight="1" x14ac:dyDescent="0"/>
  <cols>
    <col min="1" max="1" width="2.6640625" customWidth="1"/>
    <col min="2" max="12" width="9.1640625" customWidth="1"/>
    <col min="13" max="16" width="9.1640625" style="71" customWidth="1"/>
    <col min="17" max="17" width="9.1640625" customWidth="1"/>
    <col min="18" max="41" width="8.6640625" customWidth="1"/>
    <col min="42" max="42" width="2.33203125" customWidth="1"/>
  </cols>
  <sheetData>
    <row r="1" spans="2:42" ht="14" customHeight="1">
      <c r="B1" s="59" t="s">
        <v>690</v>
      </c>
      <c r="P1" s="238">
        <f>Summary!F3</f>
        <v>41674</v>
      </c>
      <c r="AP1" s="7">
        <f>ROW()</f>
        <v>1</v>
      </c>
    </row>
    <row r="2" spans="2:42" ht="14" customHeight="1" thickBot="1">
      <c r="B2" s="1"/>
      <c r="P2" s="27"/>
      <c r="AP2" s="7">
        <f>ROW()</f>
        <v>2</v>
      </c>
    </row>
    <row r="3" spans="2:42" ht="14" customHeight="1">
      <c r="B3" s="856" t="s">
        <v>761</v>
      </c>
      <c r="C3" s="735"/>
      <c r="D3" s="735"/>
      <c r="E3" s="735"/>
      <c r="F3" s="735"/>
      <c r="G3" s="735"/>
      <c r="H3" s="735"/>
      <c r="I3" s="736"/>
      <c r="K3" s="356" t="str">
        <f>CONCATENATE("Key Tax Inputs (copied from 'Summary', Rows ",Summary!AO67,"-",Summary!AO79,")")</f>
        <v>Key Tax Inputs (copied from 'Summary', Rows 67-79)</v>
      </c>
      <c r="L3" s="357"/>
      <c r="M3" s="357"/>
      <c r="N3" s="357"/>
      <c r="O3" s="358"/>
      <c r="P3" s="27"/>
      <c r="Q3" s="869" t="str">
        <f>CONCATENATE("Tax is from 'Baucus' tab, Cell J",Baucus!M50,", converted from tonnes to tons.")</f>
        <v>Tax is from 'Baucus' tab, Cell J50, converted from tonnes to tons.</v>
      </c>
      <c r="R3" s="870"/>
      <c r="AP3" s="7">
        <f>ROW()</f>
        <v>3</v>
      </c>
    </row>
    <row r="4" spans="2:42" ht="14" customHeight="1">
      <c r="B4" s="737"/>
      <c r="C4" s="787"/>
      <c r="D4" s="787"/>
      <c r="E4" s="787"/>
      <c r="F4" s="787"/>
      <c r="G4" s="787"/>
      <c r="H4" s="787"/>
      <c r="I4" s="739"/>
      <c r="K4" s="359" t="s">
        <v>493</v>
      </c>
      <c r="L4" s="71"/>
      <c r="O4" s="729">
        <f>Baucus!J50/Parameters!H14*Parameters!H15</f>
        <v>78.791546883502932</v>
      </c>
      <c r="P4" s="27"/>
      <c r="Q4" s="871"/>
      <c r="R4" s="872"/>
      <c r="AP4" s="7">
        <f>ROW()</f>
        <v>4</v>
      </c>
    </row>
    <row r="5" spans="2:42" ht="14" customHeight="1">
      <c r="B5" s="737"/>
      <c r="C5" s="787"/>
      <c r="D5" s="787"/>
      <c r="E5" s="787"/>
      <c r="F5" s="787"/>
      <c r="G5" s="787"/>
      <c r="H5" s="787"/>
      <c r="I5" s="739"/>
      <c r="K5" s="359" t="s">
        <v>494</v>
      </c>
      <c r="L5" s="71"/>
      <c r="O5" s="361" t="str">
        <f>IF(Summary!J69=1,"By Constant Amount","By Constant Percent")</f>
        <v>By Constant Amount</v>
      </c>
      <c r="P5" s="27"/>
      <c r="Q5" s="873"/>
      <c r="R5" s="874"/>
      <c r="AP5" s="7">
        <f>ROW()</f>
        <v>5</v>
      </c>
    </row>
    <row r="6" spans="2:42" ht="14" customHeight="1">
      <c r="B6" s="777"/>
      <c r="C6" s="788"/>
      <c r="D6" s="788"/>
      <c r="E6" s="788"/>
      <c r="F6" s="788"/>
      <c r="G6" s="788"/>
      <c r="H6" s="788"/>
      <c r="I6" s="778"/>
      <c r="K6" s="359" t="s">
        <v>495</v>
      </c>
      <c r="L6" s="71"/>
      <c r="N6"/>
      <c r="O6" s="360" t="str">
        <f>IF(Summary!$J$69=1,CONCATENATE("$",Summary!$J$71,""),CONCATENATE("",Summary!$J$75*100,"%"))</f>
        <v>$0</v>
      </c>
      <c r="P6" s="27"/>
      <c r="AP6" s="7">
        <f>ROW()</f>
        <v>6</v>
      </c>
    </row>
    <row r="7" spans="2:42" ht="14" customHeight="1" thickBot="1">
      <c r="B7" s="13" t="str">
        <f>CONCATENATE("Note: This worksheet is pre-formatted to print to six pages. Print area extends only to ",AI13, ".")</f>
        <v>Note: This worksheet is pre-formatted to print to six pages. Print area extends only to 2033.</v>
      </c>
      <c r="I7" s="127"/>
      <c r="K7" s="362" t="s">
        <v>496</v>
      </c>
      <c r="L7" s="363"/>
      <c r="M7" s="363"/>
      <c r="N7" s="363"/>
      <c r="O7" s="364" t="str">
        <f>Summary!J79</f>
        <v>Real</v>
      </c>
      <c r="P7" s="27"/>
      <c r="AP7" s="7">
        <f>ROW()</f>
        <v>7</v>
      </c>
    </row>
    <row r="8" spans="2:42" ht="14" customHeight="1">
      <c r="H8" s="53"/>
      <c r="I8" s="53"/>
      <c r="P8" s="27"/>
      <c r="AP8" s="7">
        <f>ROW()</f>
        <v>8</v>
      </c>
    </row>
    <row r="9" spans="2:42" ht="14" customHeight="1">
      <c r="B9" s="826" t="s">
        <v>612</v>
      </c>
      <c r="C9" s="768"/>
      <c r="D9" s="768"/>
      <c r="E9" s="768"/>
      <c r="F9" s="768"/>
      <c r="G9" s="768"/>
      <c r="H9" s="768"/>
      <c r="K9" s="800" t="s">
        <v>87</v>
      </c>
      <c r="L9" s="799" t="s">
        <v>185</v>
      </c>
      <c r="M9" s="799" t="s">
        <v>185</v>
      </c>
      <c r="N9" s="799" t="s">
        <v>185</v>
      </c>
      <c r="O9" s="799" t="s">
        <v>185</v>
      </c>
      <c r="P9" s="799" t="s">
        <v>461</v>
      </c>
      <c r="Q9" s="845" t="s">
        <v>88</v>
      </c>
      <c r="AP9" s="7">
        <f>ROW()</f>
        <v>9</v>
      </c>
    </row>
    <row r="10" spans="2:42" ht="14" customHeight="1">
      <c r="B10" s="768"/>
      <c r="C10" s="768"/>
      <c r="D10" s="768"/>
      <c r="E10" s="768"/>
      <c r="F10" s="768"/>
      <c r="G10" s="768"/>
      <c r="H10" s="768"/>
      <c r="K10" s="897"/>
      <c r="L10" s="827"/>
      <c r="M10" s="827"/>
      <c r="N10" s="827"/>
      <c r="O10" s="827"/>
      <c r="P10" s="827"/>
      <c r="Q10" s="846"/>
      <c r="AP10" s="7">
        <f>ROW()</f>
        <v>10</v>
      </c>
    </row>
    <row r="11" spans="2:42" ht="14" customHeight="1">
      <c r="K11" s="897"/>
      <c r="L11" s="827"/>
      <c r="M11" s="827"/>
      <c r="N11" s="827"/>
      <c r="O11" s="827"/>
      <c r="P11" s="827"/>
      <c r="Q11" s="846"/>
      <c r="AP11" s="7">
        <f>ROW()</f>
        <v>11</v>
      </c>
    </row>
    <row r="12" spans="2:42" ht="14" customHeight="1">
      <c r="B12" s="54" t="s">
        <v>611</v>
      </c>
      <c r="H12" s="53"/>
      <c r="K12" s="898"/>
      <c r="L12" s="827"/>
      <c r="M12" s="827"/>
      <c r="N12" s="827"/>
      <c r="O12" s="827"/>
      <c r="P12" s="827"/>
      <c r="Q12" s="847"/>
      <c r="AP12" s="7">
        <f>ROW()</f>
        <v>12</v>
      </c>
    </row>
    <row r="13" spans="2:42" ht="14" customHeight="1">
      <c r="B13" s="60" t="s">
        <v>610</v>
      </c>
      <c r="I13" s="127"/>
      <c r="J13" s="109"/>
      <c r="K13" s="132">
        <v>2007</v>
      </c>
      <c r="L13" s="185">
        <v>2008</v>
      </c>
      <c r="M13" s="185">
        <v>2009</v>
      </c>
      <c r="N13" s="185">
        <v>2010</v>
      </c>
      <c r="O13" s="132">
        <v>2011</v>
      </c>
      <c r="P13" s="132">
        <v>2012</v>
      </c>
      <c r="Q13" s="280">
        <f>Summary!Q116</f>
        <v>2015</v>
      </c>
      <c r="R13" s="12">
        <f t="shared" ref="R13:AM13" si="0">Q13+1</f>
        <v>2016</v>
      </c>
      <c r="S13" s="12">
        <f t="shared" si="0"/>
        <v>2017</v>
      </c>
      <c r="T13" s="12">
        <f t="shared" si="0"/>
        <v>2018</v>
      </c>
      <c r="U13" s="12">
        <f t="shared" si="0"/>
        <v>2019</v>
      </c>
      <c r="V13" s="12">
        <f t="shared" si="0"/>
        <v>2020</v>
      </c>
      <c r="W13" s="12">
        <f t="shared" si="0"/>
        <v>2021</v>
      </c>
      <c r="X13" s="12">
        <f t="shared" si="0"/>
        <v>2022</v>
      </c>
      <c r="Y13" s="12">
        <f t="shared" si="0"/>
        <v>2023</v>
      </c>
      <c r="Z13" s="12">
        <f t="shared" si="0"/>
        <v>2024</v>
      </c>
      <c r="AA13" s="12">
        <f t="shared" si="0"/>
        <v>2025</v>
      </c>
      <c r="AB13" s="12">
        <f t="shared" si="0"/>
        <v>2026</v>
      </c>
      <c r="AC13" s="12">
        <f t="shared" si="0"/>
        <v>2027</v>
      </c>
      <c r="AD13" s="12">
        <f t="shared" si="0"/>
        <v>2028</v>
      </c>
      <c r="AE13" s="12">
        <f t="shared" si="0"/>
        <v>2029</v>
      </c>
      <c r="AF13" s="12">
        <f t="shared" si="0"/>
        <v>2030</v>
      </c>
      <c r="AG13" s="12">
        <f t="shared" si="0"/>
        <v>2031</v>
      </c>
      <c r="AH13" s="12">
        <f t="shared" si="0"/>
        <v>2032</v>
      </c>
      <c r="AI13" s="12">
        <f t="shared" si="0"/>
        <v>2033</v>
      </c>
      <c r="AJ13" s="12">
        <f t="shared" si="0"/>
        <v>2034</v>
      </c>
      <c r="AK13" s="12">
        <f t="shared" si="0"/>
        <v>2035</v>
      </c>
      <c r="AL13" s="12">
        <f t="shared" si="0"/>
        <v>2036</v>
      </c>
      <c r="AM13" s="12">
        <f t="shared" si="0"/>
        <v>2037</v>
      </c>
      <c r="AP13" s="7">
        <f>ROW()</f>
        <v>13</v>
      </c>
    </row>
    <row r="14" spans="2:42" ht="14" customHeight="1">
      <c r="K14" s="12"/>
      <c r="L14" s="184"/>
      <c r="M14" s="184"/>
      <c r="N14" s="184"/>
      <c r="O14" s="162"/>
      <c r="P14" s="281"/>
      <c r="Q14" s="52"/>
      <c r="R14" s="12"/>
      <c r="S14" s="12"/>
      <c r="T14" s="12"/>
      <c r="U14" s="12"/>
      <c r="V14" s="12"/>
      <c r="AP14" s="7">
        <f>ROW()</f>
        <v>14</v>
      </c>
    </row>
    <row r="15" spans="2:42" s="352" customFormat="1" ht="14" customHeight="1">
      <c r="B15" s="352" t="s">
        <v>221</v>
      </c>
      <c r="M15" s="352">
        <f>Summary!L94</f>
        <v>0</v>
      </c>
      <c r="N15" s="352">
        <f>Summary!M94</f>
        <v>0</v>
      </c>
      <c r="O15" s="352">
        <f>Summary!O94</f>
        <v>0</v>
      </c>
      <c r="P15" s="372">
        <f>Summary!P94</f>
        <v>0</v>
      </c>
      <c r="Q15" s="353">
        <f>Summary!Q94</f>
        <v>1</v>
      </c>
      <c r="R15" s="352">
        <f>Summary!R94</f>
        <v>2</v>
      </c>
      <c r="S15" s="352">
        <f>Summary!S94</f>
        <v>3</v>
      </c>
      <c r="T15" s="352">
        <f>Summary!T94</f>
        <v>4</v>
      </c>
      <c r="U15" s="352">
        <f>Summary!U94</f>
        <v>5</v>
      </c>
      <c r="V15" s="352">
        <f>Summary!V94</f>
        <v>6</v>
      </c>
      <c r="W15" s="352">
        <f>Summary!W94</f>
        <v>7</v>
      </c>
      <c r="X15" s="352">
        <f>Summary!X94</f>
        <v>8</v>
      </c>
      <c r="Y15" s="352">
        <f>Summary!Y94</f>
        <v>9</v>
      </c>
      <c r="Z15" s="352">
        <f>Summary!Z94</f>
        <v>10</v>
      </c>
      <c r="AA15" s="352">
        <f>Summary!AA94</f>
        <v>11</v>
      </c>
      <c r="AB15" s="352">
        <f>Summary!AB94</f>
        <v>12</v>
      </c>
      <c r="AC15" s="352">
        <f>Summary!AC94</f>
        <v>13</v>
      </c>
      <c r="AD15" s="352">
        <f>Summary!AD94</f>
        <v>14</v>
      </c>
      <c r="AE15" s="352">
        <f>Summary!AE94</f>
        <v>15</v>
      </c>
      <c r="AF15" s="352">
        <f>Summary!AF94</f>
        <v>16</v>
      </c>
      <c r="AG15" s="352">
        <f>Summary!AG94</f>
        <v>17</v>
      </c>
      <c r="AH15" s="352">
        <f>Summary!AH94</f>
        <v>18</v>
      </c>
      <c r="AI15" s="352">
        <f>Summary!AI94</f>
        <v>19</v>
      </c>
      <c r="AJ15" s="352">
        <f>Summary!AJ94</f>
        <v>20</v>
      </c>
      <c r="AK15" s="352">
        <f>Summary!AK94</f>
        <v>21</v>
      </c>
      <c r="AL15" s="352">
        <f>Summary!AL94</f>
        <v>22</v>
      </c>
      <c r="AM15" s="352">
        <f>Summary!AM94</f>
        <v>23</v>
      </c>
      <c r="AP15" s="355">
        <f>ROW()</f>
        <v>15</v>
      </c>
    </row>
    <row r="16" spans="2:42" ht="14" customHeight="1">
      <c r="B16" s="352" t="str">
        <f>CONCATENATE("Tax in year shown, per ton of CO2 (taken directly from 'Summary' tab, Row ",Summary!AO97, ")")</f>
        <v>Tax in year shown, per ton of CO2 (taken directly from 'Summary' tab, Row 97)</v>
      </c>
      <c r="H16" s="2"/>
      <c r="I16" s="2"/>
      <c r="J16" s="2"/>
      <c r="M16" s="469">
        <f t="shared" ref="M16:O17" si="1">N16</f>
        <v>0</v>
      </c>
      <c r="N16" s="469">
        <f t="shared" si="1"/>
        <v>0</v>
      </c>
      <c r="O16" s="469">
        <f t="shared" si="1"/>
        <v>0</v>
      </c>
      <c r="P16" s="470">
        <f>Summary!P97</f>
        <v>0</v>
      </c>
      <c r="Q16" s="469">
        <f>Summary!Q97*Baucus!$J$50/Baucus!$E$50</f>
        <v>78.791546883502917</v>
      </c>
      <c r="R16" s="469">
        <f>Summary!R97*Baucus!$J$50/Baucus!$E$50</f>
        <v>80.079229978678185</v>
      </c>
      <c r="S16" s="469">
        <f>Summary!S97*Baucus!$J$50/Baucus!$E$50</f>
        <v>81.387957561735547</v>
      </c>
      <c r="T16" s="469">
        <f>Summary!T97*Baucus!$J$50/Baucus!$E$50</f>
        <v>82.718073560829239</v>
      </c>
      <c r="U16" s="469">
        <f>Summary!U97*Baucus!$J$50/Baucus!$E$50</f>
        <v>84.069927524900166</v>
      </c>
      <c r="V16" s="469">
        <f>Summary!V97*Baucus!$J$50/Baucus!$E$50</f>
        <v>85.443874715535799</v>
      </c>
      <c r="W16" s="469">
        <f>Summary!W97*Baucus!$J$50/Baucus!$E$50</f>
        <v>86.840276200331431</v>
      </c>
      <c r="X16" s="469">
        <f>Summary!X97*Baucus!$J$50/Baucus!$E$50</f>
        <v>88.259498947777345</v>
      </c>
      <c r="Y16" s="469">
        <f>Summary!Y97*Baucus!$J$50/Baucus!$E$50</f>
        <v>89.701915923696447</v>
      </c>
      <c r="Z16" s="469">
        <f>Summary!Z97*Baucus!$J$50/Baucus!$E$50</f>
        <v>91.167906189258332</v>
      </c>
      <c r="AA16" s="469">
        <f>Summary!AA97*Baucus!$J$50/Baucus!$E$50</f>
        <v>92.657855000594722</v>
      </c>
      <c r="AB16" s="469">
        <f>Summary!AB97*Baucus!$J$50/Baucus!$E$50</f>
        <v>94.172153910043463</v>
      </c>
      <c r="AC16" s="469">
        <f>Summary!AC97*Baucus!$J$50/Baucus!$E$50</f>
        <v>95.711200869046564</v>
      </c>
      <c r="AD16" s="469">
        <f>Summary!AD97*Baucus!$J$50/Baucus!$E$50</f>
        <v>97.275400332730413</v>
      </c>
      <c r="AE16" s="469">
        <f>Summary!AE97*Baucus!$J$50/Baucus!$E$50</f>
        <v>98.865163366194707</v>
      </c>
      <c r="AF16" s="469">
        <f>Summary!AF97*Baucus!$J$50/Baucus!$E$50</f>
        <v>100.48090775253885</v>
      </c>
      <c r="AG16" s="469">
        <f>Summary!AG97*Baucus!$J$50/Baucus!$E$50</f>
        <v>102.12305810265336</v>
      </c>
      <c r="AH16" s="469">
        <f>Summary!AH97*Baucus!$J$50/Baucus!$E$50</f>
        <v>103.7920459668061</v>
      </c>
      <c r="AI16" s="469">
        <f>Summary!AI97*Baucus!$J$50/Baucus!$E$50</f>
        <v>105.48830994805172</v>
      </c>
      <c r="AJ16" s="469">
        <f>Summary!AJ97*Baucus!$J$50/Baucus!$E$50</f>
        <v>107.21229581749473</v>
      </c>
      <c r="AK16" s="469">
        <f>Summary!AK97*Baucus!$J$50/Baucus!$E$50</f>
        <v>108.96445663143633</v>
      </c>
      <c r="AL16" s="469">
        <f>Summary!AL97*Baucus!$J$50/Baucus!$E$50</f>
        <v>110.74525285043576</v>
      </c>
      <c r="AM16" s="469">
        <f>Summary!AM97*Baucus!$J$50/Baucus!$E$50</f>
        <v>112.55515246031734</v>
      </c>
      <c r="AN16" s="76"/>
      <c r="AO16" s="71"/>
      <c r="AP16" s="6">
        <f>ROW()</f>
        <v>16</v>
      </c>
    </row>
    <row r="17" spans="2:42" s="32" customFormat="1" ht="14" customHeight="1">
      <c r="B17" s="352" t="s">
        <v>613</v>
      </c>
      <c r="H17" s="18"/>
      <c r="I17" s="18"/>
      <c r="J17" s="18"/>
      <c r="M17" s="469">
        <f t="shared" si="1"/>
        <v>0</v>
      </c>
      <c r="N17" s="469">
        <f t="shared" si="1"/>
        <v>0</v>
      </c>
      <c r="O17" s="469">
        <f t="shared" si="1"/>
        <v>0</v>
      </c>
      <c r="P17" s="470">
        <f>P16*Parameters!$H$14/2000</f>
        <v>0</v>
      </c>
      <c r="Q17" s="469">
        <f>Q16*Parameters!$H$14/2000</f>
        <v>86.867680439061971</v>
      </c>
      <c r="R17" s="469">
        <f>R16*Parameters!$H$14/2000</f>
        <v>88.287351051492706</v>
      </c>
      <c r="S17" s="469">
        <f>S16*Parameters!$H$14/2000</f>
        <v>89.730223211813438</v>
      </c>
      <c r="T17" s="469">
        <f>T16*Parameters!$H$14/2000</f>
        <v>91.19667610081423</v>
      </c>
      <c r="U17" s="469">
        <f>U16*Parameters!$H$14/2000</f>
        <v>92.687095096202441</v>
      </c>
      <c r="V17" s="469">
        <f>V16*Parameters!$H$14/2000</f>
        <v>94.201871873878218</v>
      </c>
      <c r="W17" s="469">
        <f>W16*Parameters!$H$14/2000</f>
        <v>95.741404510865394</v>
      </c>
      <c r="X17" s="469">
        <f>X16*Parameters!$H$14/2000</f>
        <v>97.306097589924519</v>
      </c>
      <c r="Y17" s="469">
        <f>Y16*Parameters!$H$14/2000</f>
        <v>98.896362305875329</v>
      </c>
      <c r="Z17" s="469">
        <f>Z16*Parameters!$H$14/2000</f>
        <v>100.51261657365731</v>
      </c>
      <c r="AA17" s="469">
        <f>AA16*Parameters!$H$14/2000</f>
        <v>102.15528513815568</v>
      </c>
      <c r="AB17" s="469">
        <f>AB16*Parameters!$H$14/2000</f>
        <v>103.82479968582291</v>
      </c>
      <c r="AC17" s="469">
        <f>AC16*Parameters!$H$14/2000</f>
        <v>105.52159895812385</v>
      </c>
      <c r="AD17" s="469">
        <f>AD16*Parameters!$H$14/2000</f>
        <v>107.24612886683528</v>
      </c>
      <c r="AE17" s="469">
        <f>AE16*Parameters!$H$14/2000</f>
        <v>108.99884261122966</v>
      </c>
      <c r="AF17" s="469">
        <f>AF16*Parameters!$H$14/2000</f>
        <v>110.78020079717409</v>
      </c>
      <c r="AG17" s="469">
        <f>AG16*Parameters!$H$14/2000</f>
        <v>112.59067155817533</v>
      </c>
      <c r="AH17" s="469">
        <f>AH16*Parameters!$H$14/2000</f>
        <v>114.43073067840372</v>
      </c>
      <c r="AI17" s="469">
        <f>AI16*Parameters!$H$14/2000</f>
        <v>116.30086171772702</v>
      </c>
      <c r="AJ17" s="469">
        <f>AJ16*Parameters!$H$14/2000</f>
        <v>118.20155613878794</v>
      </c>
      <c r="AK17" s="469">
        <f>AK16*Parameters!$H$14/2000</f>
        <v>120.13331343615856</v>
      </c>
      <c r="AL17" s="469">
        <f>AL16*Parameters!$H$14/2000</f>
        <v>122.09664126760543</v>
      </c>
      <c r="AM17" s="469">
        <f>AM16*Parameters!$H$14/2000</f>
        <v>124.09205558749987</v>
      </c>
      <c r="AP17" s="88">
        <f>ROW()</f>
        <v>17</v>
      </c>
    </row>
    <row r="18" spans="2:42" ht="14" customHeight="1">
      <c r="I18" s="899" t="s">
        <v>704</v>
      </c>
      <c r="J18" s="899"/>
      <c r="K18" s="899"/>
      <c r="L18" s="899"/>
      <c r="M18" s="899"/>
      <c r="N18" s="899"/>
      <c r="O18" s="899"/>
      <c r="P18" s="900"/>
      <c r="Q18" s="52"/>
      <c r="R18" s="12"/>
      <c r="S18" s="12"/>
      <c r="T18" s="12"/>
      <c r="U18" s="12"/>
      <c r="V18" s="12"/>
      <c r="AP18" s="7">
        <f>ROW()</f>
        <v>18</v>
      </c>
    </row>
    <row r="19" spans="2:42" ht="14" customHeight="1">
      <c r="B19" s="8" t="s">
        <v>703</v>
      </c>
      <c r="I19" s="12">
        <v>2005</v>
      </c>
      <c r="J19" s="12">
        <v>2006</v>
      </c>
      <c r="K19" s="12">
        <f t="shared" ref="K19:P19" si="2">K$13</f>
        <v>2007</v>
      </c>
      <c r="L19" s="12">
        <f t="shared" si="2"/>
        <v>2008</v>
      </c>
      <c r="M19" s="12">
        <f t="shared" si="2"/>
        <v>2009</v>
      </c>
      <c r="N19" s="12">
        <f t="shared" si="2"/>
        <v>2010</v>
      </c>
      <c r="O19" s="12">
        <f t="shared" si="2"/>
        <v>2011</v>
      </c>
      <c r="P19" s="434">
        <f t="shared" si="2"/>
        <v>2012</v>
      </c>
      <c r="AP19" s="7">
        <f>ROW()</f>
        <v>19</v>
      </c>
    </row>
    <row r="20" spans="2:42" ht="14" customHeight="1">
      <c r="B20" s="32" t="s">
        <v>200</v>
      </c>
      <c r="H20" s="102" t="str">
        <f>CONCATENATE("From 'Energy' tab, Row ",Energy!Q33, ".")</f>
        <v>From 'Energy' tab, Row 33.</v>
      </c>
      <c r="I20" s="393">
        <f>Energy!G33</f>
        <v>85.794210000000007</v>
      </c>
      <c r="J20" s="393">
        <f t="shared" ref="J20:J26" si="3">AVERAGE(I20,K20)</f>
        <v>86.002790000000005</v>
      </c>
      <c r="K20" s="393">
        <f>Energy!I33</f>
        <v>86.211370000000002</v>
      </c>
      <c r="L20" s="393">
        <f>Energy!J33</f>
        <v>83.548839999999998</v>
      </c>
      <c r="M20" s="393">
        <f>Energy!K33</f>
        <v>78.487589999999997</v>
      </c>
      <c r="N20" s="393">
        <f>Energy!L33</f>
        <v>81.369100000000003</v>
      </c>
      <c r="O20" s="393">
        <f>Energy!M33</f>
        <v>79.999020000000002</v>
      </c>
      <c r="P20" s="435">
        <f>Energy!N33</f>
        <v>78.017212000000001</v>
      </c>
      <c r="AP20" s="7">
        <f>ROW()</f>
        <v>20</v>
      </c>
    </row>
    <row r="21" spans="2:42" ht="14" customHeight="1">
      <c r="B21" s="32" t="s">
        <v>204</v>
      </c>
      <c r="G21" s="856" t="str">
        <f>CONCATENATE("From 'Energy' tab, Rows ",Energy!Q48, "-",Energy!Q53, ". Note that last row (Other) is also Row ",AP20, " less sum of Rows ",AP21, "-",AP26, ".")</f>
        <v>From 'Energy' tab, Rows 48-53. Note that last row (Other) is also Row 20 less sum of Rows 21-26.</v>
      </c>
      <c r="H21" s="736"/>
      <c r="I21" s="393">
        <f>Energy!G48</f>
        <v>32.047638079999999</v>
      </c>
      <c r="J21" s="393">
        <f t="shared" si="3"/>
        <v>32.283055129999994</v>
      </c>
      <c r="K21" s="393">
        <f>Energy!I48</f>
        <v>32.518472179999996</v>
      </c>
      <c r="L21" s="393">
        <f>Energy!J48</f>
        <v>31.889113550000001</v>
      </c>
      <c r="M21" s="393">
        <f>Energy!K48</f>
        <v>29.66721107</v>
      </c>
      <c r="N21" s="393">
        <f>Energy!L48</f>
        <v>31.230942919999997</v>
      </c>
      <c r="O21" s="393">
        <f>Energy!M48</f>
        <v>30.388527060000001</v>
      </c>
      <c r="P21" s="435">
        <f>Energy!N48</f>
        <v>29.601101647</v>
      </c>
      <c r="AP21" s="7">
        <f>ROW()</f>
        <v>21</v>
      </c>
    </row>
    <row r="22" spans="2:42" ht="14" customHeight="1">
      <c r="B22" s="32" t="s">
        <v>702</v>
      </c>
      <c r="G22" s="737"/>
      <c r="H22" s="739"/>
      <c r="I22" s="393">
        <f>Energy!G49</f>
        <v>16.702960298685202</v>
      </c>
      <c r="J22" s="393">
        <f t="shared" si="3"/>
        <v>16.487392780701327</v>
      </c>
      <c r="K22" s="393">
        <f>Energy!I49</f>
        <v>16.271825262717453</v>
      </c>
      <c r="L22" s="393">
        <f>Energy!J49</f>
        <v>15.485637844188032</v>
      </c>
      <c r="M22" s="393">
        <f>Energy!K49</f>
        <v>15.543404303255601</v>
      </c>
      <c r="N22" s="393">
        <f>M22*'Personal Ground Travel'!N31/'Personal Ground Travel'!M31</f>
        <v>15.626802476111626</v>
      </c>
      <c r="O22" s="393">
        <f>Energy!M49</f>
        <v>15.147492717938814</v>
      </c>
      <c r="P22" s="435">
        <f>Energy!N49</f>
        <v>15.080003823240817</v>
      </c>
      <c r="AP22" s="7">
        <f>ROW()</f>
        <v>22</v>
      </c>
    </row>
    <row r="23" spans="2:42" ht="14" customHeight="1">
      <c r="B23" s="32" t="s">
        <v>209</v>
      </c>
      <c r="G23" s="737"/>
      <c r="H23" s="739"/>
      <c r="I23" s="393">
        <f>Energy!G50</f>
        <v>7.1006364945349816</v>
      </c>
      <c r="J23" s="393">
        <f t="shared" si="3"/>
        <v>7.4226500191672979</v>
      </c>
      <c r="K23" s="393">
        <f>Energy!I50</f>
        <v>7.7446635437996143</v>
      </c>
      <c r="L23" s="393">
        <f>Energy!J50</f>
        <v>7.3089581404916162</v>
      </c>
      <c r="M23" s="393">
        <f>Energy!K50</f>
        <v>6.5682589548680257</v>
      </c>
      <c r="N23" s="393">
        <f>M23*Freight!N31/Freight!M31</f>
        <v>6.8743790246357852</v>
      </c>
      <c r="O23" s="393">
        <f>Energy!M50</f>
        <v>6.9767327704692734</v>
      </c>
      <c r="P23" s="435">
        <f>Energy!N50</f>
        <v>6.7512820946085839</v>
      </c>
      <c r="AP23" s="7">
        <f>ROW()</f>
        <v>23</v>
      </c>
    </row>
    <row r="24" spans="2:42" ht="14" customHeight="1">
      <c r="B24" s="32" t="s">
        <v>210</v>
      </c>
      <c r="G24" s="737"/>
      <c r="H24" s="739"/>
      <c r="I24" s="393">
        <f>Energy!G51</f>
        <v>3.3178683385579939</v>
      </c>
      <c r="J24" s="393">
        <f t="shared" si="3"/>
        <v>3.2713166144200629</v>
      </c>
      <c r="K24" s="393">
        <f>Energy!I51</f>
        <v>3.224764890282132</v>
      </c>
      <c r="L24" s="393">
        <f>Energy!J51</f>
        <v>3.051253918495298</v>
      </c>
      <c r="M24" s="393">
        <f>Energy!K51</f>
        <v>2.7648902821316614</v>
      </c>
      <c r="N24" s="393">
        <f>M24*Aviation!N31/Aviation!M31</f>
        <v>2.8391844318482464</v>
      </c>
      <c r="O24" s="393">
        <f>Energy!M51</f>
        <v>2.8721003134796237</v>
      </c>
      <c r="P24" s="435">
        <f>Energy!N51</f>
        <v>2.8183289599904984</v>
      </c>
      <c r="AP24" s="7">
        <f>ROW()</f>
        <v>24</v>
      </c>
    </row>
    <row r="25" spans="2:42" ht="14" customHeight="1">
      <c r="B25" s="32" t="s">
        <v>683</v>
      </c>
      <c r="G25" s="737"/>
      <c r="H25" s="739"/>
      <c r="I25" s="393">
        <f>Energy!G52</f>
        <v>5.4504000000000001</v>
      </c>
      <c r="J25" s="393">
        <f t="shared" si="3"/>
        <v>5.36165</v>
      </c>
      <c r="K25" s="393">
        <f>Energy!I52</f>
        <v>5.2728999999999999</v>
      </c>
      <c r="L25" s="393">
        <f>Energy!J52</f>
        <v>4.9002999999999997</v>
      </c>
      <c r="M25" s="393">
        <f>Energy!K52</f>
        <v>4.5269000000000004</v>
      </c>
      <c r="N25" s="393">
        <f>Energy!L52</f>
        <v>4.8037999999999998</v>
      </c>
      <c r="O25" s="393">
        <f>Energy!M52</f>
        <v>4.7476000000000003</v>
      </c>
      <c r="P25" s="435">
        <f>Energy!N52</f>
        <v>4.7476000000000003</v>
      </c>
      <c r="AP25" s="7">
        <f>ROW()</f>
        <v>25</v>
      </c>
    </row>
    <row r="26" spans="2:42" ht="14" customHeight="1">
      <c r="B26" s="8" t="s">
        <v>211</v>
      </c>
      <c r="G26" s="777"/>
      <c r="H26" s="778"/>
      <c r="I26" s="139">
        <f>Energy!G53</f>
        <v>21.17470678822184</v>
      </c>
      <c r="J26" s="139">
        <f t="shared" si="3"/>
        <v>21.176725455711328</v>
      </c>
      <c r="K26" s="139">
        <f>Energy!I53</f>
        <v>21.178744123200815</v>
      </c>
      <c r="L26" s="139">
        <f>Energy!J53</f>
        <v>20.913576546825048</v>
      </c>
      <c r="M26" s="139">
        <f>Energy!K53</f>
        <v>19.416925389744712</v>
      </c>
      <c r="N26" s="139">
        <f>Energy!L53</f>
        <v>20.089280245450695</v>
      </c>
      <c r="O26" s="139">
        <f>Energy!M53</f>
        <v>19.866567138112288</v>
      </c>
      <c r="P26" s="376">
        <f>Energy!N53</f>
        <v>19.018895475160107</v>
      </c>
      <c r="AP26" s="7">
        <f>ROW()</f>
        <v>26</v>
      </c>
    </row>
    <row r="27" spans="2:42" ht="14" customHeight="1">
      <c r="B27" s="179"/>
      <c r="J27" s="420"/>
      <c r="K27" s="421"/>
      <c r="M27"/>
      <c r="P27" s="27"/>
      <c r="AP27" s="7">
        <f>ROW()</f>
        <v>27</v>
      </c>
    </row>
    <row r="28" spans="2:42" ht="14" customHeight="1">
      <c r="B28" s="8" t="s">
        <v>705</v>
      </c>
      <c r="I28" s="518">
        <v>0.54</v>
      </c>
      <c r="J28" s="518">
        <v>0.5</v>
      </c>
      <c r="K28" s="518">
        <v>0.53</v>
      </c>
      <c r="L28" s="518">
        <v>0.53</v>
      </c>
      <c r="M28" s="518">
        <v>0.51</v>
      </c>
      <c r="N28" s="519">
        <v>0.52</v>
      </c>
      <c r="O28" s="519">
        <v>0.51</v>
      </c>
      <c r="P28" s="520">
        <v>0.54</v>
      </c>
      <c r="AP28" s="7">
        <f>ROW()</f>
        <v>28</v>
      </c>
    </row>
    <row r="29" spans="2:42" ht="14" customHeight="1">
      <c r="B29" s="91" t="s">
        <v>720</v>
      </c>
      <c r="J29" s="420"/>
      <c r="K29" s="421"/>
      <c r="M29"/>
      <c r="P29" s="27"/>
      <c r="AP29" s="7">
        <f>ROW()</f>
        <v>29</v>
      </c>
    </row>
    <row r="30" spans="2:42" ht="14" customHeight="1">
      <c r="B30" s="8" t="s">
        <v>699</v>
      </c>
      <c r="I30" s="139">
        <f t="shared" ref="I30:P30" si="4">I28*I26</f>
        <v>11.434341665639794</v>
      </c>
      <c r="J30" s="139">
        <f t="shared" si="4"/>
        <v>10.588362727855664</v>
      </c>
      <c r="K30" s="139">
        <f t="shared" si="4"/>
        <v>11.224734385296433</v>
      </c>
      <c r="L30" s="139">
        <f t="shared" si="4"/>
        <v>11.084195569817275</v>
      </c>
      <c r="M30" s="139">
        <f t="shared" si="4"/>
        <v>9.9026319487698036</v>
      </c>
      <c r="N30" s="139">
        <f t="shared" si="4"/>
        <v>10.446425727634361</v>
      </c>
      <c r="O30" s="139">
        <f t="shared" si="4"/>
        <v>10.131949240437267</v>
      </c>
      <c r="P30" s="376">
        <f t="shared" si="4"/>
        <v>10.270203556586459</v>
      </c>
      <c r="AP30" s="7">
        <f>ROW()</f>
        <v>30</v>
      </c>
    </row>
    <row r="31" spans="2:42" ht="14" customHeight="1">
      <c r="B31" s="91" t="str">
        <f>CONCATENATE("Product of Rows ",AP28, " and ",AP26, ".")</f>
        <v>Product of Rows 28 and 26.</v>
      </c>
      <c r="J31" s="420"/>
      <c r="K31" s="421"/>
      <c r="M31"/>
      <c r="P31" s="27"/>
      <c r="AP31" s="7">
        <f>ROW()</f>
        <v>31</v>
      </c>
    </row>
    <row r="32" spans="2:42" ht="14" customHeight="1">
      <c r="B32" s="8" t="s">
        <v>706</v>
      </c>
      <c r="I32" s="139">
        <f>I30*Parameters!$H$31</f>
        <v>585.94232361910008</v>
      </c>
      <c r="J32" s="139">
        <f>J30*Parameters!$H$31</f>
        <v>542.5909109157684</v>
      </c>
      <c r="K32" s="139">
        <f>K30*Parameters!$H$31</f>
        <v>575.20119129305317</v>
      </c>
      <c r="L32" s="139">
        <f>L30*Parameters!$H$31</f>
        <v>567.99940893351527</v>
      </c>
      <c r="M32" s="139">
        <f>M30*Parameters!$H$31</f>
        <v>507.45126774049845</v>
      </c>
      <c r="N32" s="139">
        <f>N30*Parameters!$H$31</f>
        <v>535.31747986489199</v>
      </c>
      <c r="O32" s="139">
        <f>O30*Parameters!$H$31</f>
        <v>519.20242147149497</v>
      </c>
      <c r="P32" s="376">
        <f>P30*Parameters!$H$31</f>
        <v>526.28713676369762</v>
      </c>
      <c r="AP32" s="7">
        <f>ROW()</f>
        <v>32</v>
      </c>
    </row>
    <row r="33" spans="2:42" ht="14" customHeight="1">
      <c r="B33" s="91" t="str">
        <f>CONCATENATE("Product of Row ",AP30, " and kg of CO2 per million btu of natural gas from 'Parameter' tab, Row ",Parameters!O31, ". Note that billions on either side of fraction bar cancel out.")</f>
        <v>Product of Row 30 and kg of CO2 per million btu of natural gas from 'Parameter' tab, Row 31. Note that billions on either side of fraction bar cancel out.</v>
      </c>
      <c r="J33" s="420"/>
      <c r="K33" s="421"/>
      <c r="M33"/>
      <c r="P33" s="27"/>
      <c r="AP33" s="7">
        <f>ROW()</f>
        <v>33</v>
      </c>
    </row>
    <row r="34" spans="2:42" ht="14" customHeight="1">
      <c r="B34" s="179"/>
      <c r="J34" s="420"/>
      <c r="K34" s="421"/>
      <c r="M34"/>
      <c r="P34" s="27"/>
      <c r="AP34" s="7">
        <f>ROW()</f>
        <v>34</v>
      </c>
    </row>
    <row r="35" spans="2:42" ht="14" customHeight="1">
      <c r="B35" s="179"/>
      <c r="J35" s="420"/>
      <c r="K35" s="421"/>
      <c r="M35"/>
      <c r="P35" s="27"/>
      <c r="AP35" s="7"/>
    </row>
    <row r="36" spans="2:42" ht="14" customHeight="1">
      <c r="B36" s="8" t="s">
        <v>573</v>
      </c>
      <c r="K36" s="12">
        <f t="shared" ref="K36:AM36" si="5">K$13</f>
        <v>2007</v>
      </c>
      <c r="L36" s="12">
        <f t="shared" si="5"/>
        <v>2008</v>
      </c>
      <c r="M36" s="12">
        <f t="shared" si="5"/>
        <v>2009</v>
      </c>
      <c r="N36" s="12">
        <f t="shared" si="5"/>
        <v>2010</v>
      </c>
      <c r="O36" s="12">
        <f t="shared" si="5"/>
        <v>2011</v>
      </c>
      <c r="P36" s="434">
        <f t="shared" si="5"/>
        <v>2012</v>
      </c>
      <c r="Q36" s="12">
        <f t="shared" si="5"/>
        <v>2015</v>
      </c>
      <c r="R36" s="12">
        <f t="shared" si="5"/>
        <v>2016</v>
      </c>
      <c r="S36" s="12">
        <f t="shared" si="5"/>
        <v>2017</v>
      </c>
      <c r="T36" s="12">
        <f t="shared" si="5"/>
        <v>2018</v>
      </c>
      <c r="U36" s="12">
        <f t="shared" si="5"/>
        <v>2019</v>
      </c>
      <c r="V36" s="12">
        <f t="shared" si="5"/>
        <v>2020</v>
      </c>
      <c r="W36" s="12">
        <f t="shared" si="5"/>
        <v>2021</v>
      </c>
      <c r="X36" s="12">
        <f t="shared" si="5"/>
        <v>2022</v>
      </c>
      <c r="Y36" s="12">
        <f t="shared" si="5"/>
        <v>2023</v>
      </c>
      <c r="Z36" s="12">
        <f t="shared" si="5"/>
        <v>2024</v>
      </c>
      <c r="AA36" s="12">
        <f t="shared" si="5"/>
        <v>2025</v>
      </c>
      <c r="AB36" s="12">
        <f t="shared" si="5"/>
        <v>2026</v>
      </c>
      <c r="AC36" s="12">
        <f t="shared" si="5"/>
        <v>2027</v>
      </c>
      <c r="AD36" s="12">
        <f t="shared" si="5"/>
        <v>2028</v>
      </c>
      <c r="AE36" s="12">
        <f t="shared" si="5"/>
        <v>2029</v>
      </c>
      <c r="AF36" s="12">
        <f t="shared" si="5"/>
        <v>2030</v>
      </c>
      <c r="AG36" s="12">
        <f t="shared" si="5"/>
        <v>2031</v>
      </c>
      <c r="AH36" s="12">
        <f t="shared" si="5"/>
        <v>2032</v>
      </c>
      <c r="AI36" s="12">
        <f t="shared" si="5"/>
        <v>2033</v>
      </c>
      <c r="AJ36" s="12">
        <f t="shared" si="5"/>
        <v>2034</v>
      </c>
      <c r="AK36" s="12">
        <f t="shared" si="5"/>
        <v>2035</v>
      </c>
      <c r="AL36" s="12">
        <f t="shared" si="5"/>
        <v>2036</v>
      </c>
      <c r="AM36" s="12">
        <f t="shared" si="5"/>
        <v>2037</v>
      </c>
      <c r="AP36" s="7">
        <f>ROW()</f>
        <v>36</v>
      </c>
    </row>
    <row r="37" spans="2:42" ht="14" customHeight="1">
      <c r="D37" s="32" t="s">
        <v>618</v>
      </c>
      <c r="K37" s="12"/>
      <c r="L37" s="12"/>
      <c r="M37" s="12"/>
      <c r="N37" s="12"/>
      <c r="O37" s="12"/>
      <c r="P37" s="434"/>
      <c r="AP37" s="7">
        <f>ROW()</f>
        <v>37</v>
      </c>
    </row>
    <row r="38" spans="2:42" ht="14" customHeight="1">
      <c r="B38" s="32" t="s">
        <v>574</v>
      </c>
      <c r="K38" s="419">
        <f>1000*Energy!I65/Energy!$D$42</f>
        <v>9.7367160069143726</v>
      </c>
      <c r="L38" s="419">
        <f>1000*Energy!J65/Energy!$D$42</f>
        <v>11.139159201133243</v>
      </c>
      <c r="M38" s="419">
        <f>1000*Energy!K65/Energy!$D$42</f>
        <v>8.1760093038378798</v>
      </c>
      <c r="N38" s="419">
        <f>1000*Energy!L65/Energy!$D$42</f>
        <v>7.7996001193748681</v>
      </c>
      <c r="O38" s="419">
        <f>1000*Energy!M65/Energy!$D$42</f>
        <v>7.3764166474606379</v>
      </c>
      <c r="P38" s="436">
        <f>1000*Energy!N65/Energy!$D$42</f>
        <v>6.3081682727921047</v>
      </c>
      <c r="AP38" s="7">
        <f>ROW()</f>
        <v>38</v>
      </c>
    </row>
    <row r="39" spans="2:42" ht="14" customHeight="1">
      <c r="B39" s="91" t="str">
        <f>CONCATENATE("Ratio of Row ",Energy!Q65, " in 'Energy' tab (delivered price per mcf) to Cell D",Energy!Q42, " in 'Energy' tab (btu per mcf).")</f>
        <v>Ratio of Row 65 in 'Energy' tab (delivered price per mcf) to Cell D42 in 'Energy' tab (btu per mcf).</v>
      </c>
      <c r="M39"/>
      <c r="N39"/>
      <c r="P39" s="27"/>
      <c r="AP39" s="7">
        <f>ROW()</f>
        <v>39</v>
      </c>
    </row>
    <row r="40" spans="2:42" ht="14" customHeight="1">
      <c r="B40" s="32" t="s">
        <v>575</v>
      </c>
      <c r="K40" s="419">
        <f>1000*Energy!I71/Energy!$D$42</f>
        <v>6.073858114674441</v>
      </c>
      <c r="L40" s="419">
        <f>1000*Energy!J71/Energy!$D$42</f>
        <v>7.7453838678328477</v>
      </c>
      <c r="M40" s="419">
        <f>1000*Energy!K71/Energy!$D$42</f>
        <v>3.5665694849368319</v>
      </c>
      <c r="N40" s="419">
        <f>1000*Energy!L71/Energy!$D$42</f>
        <v>4.3537414965986398</v>
      </c>
      <c r="O40" s="419">
        <f>1000*Energy!M71/Energy!$D$42</f>
        <v>3.8386783284742467</v>
      </c>
      <c r="P40" s="436">
        <f>1000*Energy!N71/Energy!$D$42</f>
        <v>2.5850340136054424</v>
      </c>
      <c r="AP40" s="7">
        <f>ROW()</f>
        <v>40</v>
      </c>
    </row>
    <row r="41" spans="2:42" ht="14" customHeight="1">
      <c r="B41" s="91" t="str">
        <f>CONCATENATE("Ratio of Row ",Energy!Q71, " in 'Energy' tab (wellhead price per mcf) to Cell D",Energy!Q42, " in 'Energy' tab (btu per mcf).")</f>
        <v>Ratio of Row 71 in 'Energy' tab (wellhead price per mcf) to Cell D42 in 'Energy' tab (btu per mcf).</v>
      </c>
      <c r="M41"/>
      <c r="N41"/>
      <c r="P41" s="27"/>
      <c r="AP41" s="7">
        <f>ROW()</f>
        <v>41</v>
      </c>
    </row>
    <row r="42" spans="2:42" ht="14" customHeight="1">
      <c r="B42" s="32" t="s">
        <v>576</v>
      </c>
      <c r="K42" s="197">
        <f t="shared" ref="K42:P42" si="6">K38-K40</f>
        <v>3.6628578922399315</v>
      </c>
      <c r="L42" s="197">
        <f t="shared" si="6"/>
        <v>3.393775333300395</v>
      </c>
      <c r="M42" s="197">
        <f t="shared" si="6"/>
        <v>4.6094398189010484</v>
      </c>
      <c r="N42" s="197">
        <f t="shared" si="6"/>
        <v>3.4458586227762282</v>
      </c>
      <c r="O42" s="197">
        <f t="shared" si="6"/>
        <v>3.5377383189863911</v>
      </c>
      <c r="P42" s="436">
        <f t="shared" si="6"/>
        <v>3.7231342591866623</v>
      </c>
      <c r="AP42" s="7">
        <f>ROW()</f>
        <v>42</v>
      </c>
    </row>
    <row r="43" spans="2:42" ht="14" customHeight="1">
      <c r="B43" s="91" t="str">
        <f>CONCATENATE("Row ",AP38, " less Row ",AP40, ".")</f>
        <v>Row 38 less Row 40.</v>
      </c>
      <c r="M43"/>
      <c r="N43"/>
      <c r="O43"/>
      <c r="P43" s="27"/>
      <c r="AP43" s="7">
        <f>ROW()</f>
        <v>43</v>
      </c>
    </row>
    <row r="44" spans="2:42" ht="14" customHeight="1">
      <c r="D44" s="32" t="s">
        <v>619</v>
      </c>
      <c r="M44"/>
      <c r="N44"/>
      <c r="O44"/>
      <c r="P44" s="27"/>
      <c r="AP44" s="7">
        <f>ROW()</f>
        <v>44</v>
      </c>
    </row>
    <row r="45" spans="2:42" ht="14" customHeight="1">
      <c r="B45" s="32" t="s">
        <v>577</v>
      </c>
      <c r="M45"/>
      <c r="N45"/>
      <c r="O45"/>
      <c r="P45" s="27"/>
      <c r="Q45" s="197">
        <f>AVERAGE($K42:$P42)*AEO!$N$18^(Q13-$P13)</f>
        <v>3.9280888123890452</v>
      </c>
      <c r="R45" s="197">
        <f>AVERAGE($K42:$P42)*AEO!$N$18^(R13-$P13)</f>
        <v>3.9968575844182626</v>
      </c>
      <c r="S45" s="197">
        <f>AVERAGE($K42:$P42)*AEO!$N$18^(S13-$P13)</f>
        <v>4.066830286458301</v>
      </c>
      <c r="T45" s="197">
        <f>AVERAGE($K42:$P42)*AEO!$N$18^(T13-$P13)</f>
        <v>4.1380279956264072</v>
      </c>
      <c r="U45" s="197">
        <f>AVERAGE($K42:$P42)*AEO!$N$18^(U13-$P13)</f>
        <v>4.2104721580354241</v>
      </c>
      <c r="V45" s="197">
        <f>AVERAGE($K42:$P42)*AEO!$N$18^(V13-$P13)</f>
        <v>4.2841845952537669</v>
      </c>
      <c r="W45" s="197">
        <f>AVERAGE($K42:$P42)*AEO!$N$18^(W13-$P13)</f>
        <v>4.3591875108785043</v>
      </c>
      <c r="X45" s="197">
        <f>AVERAGE($K42:$P42)*AEO!$N$18^(X13-$P13)</f>
        <v>4.4355034972235003</v>
      </c>
      <c r="Y45" s="197">
        <f>AVERAGE($K42:$P42)*AEO!$N$18^(Y13-$P13)</f>
        <v>4.5131555421246556</v>
      </c>
      <c r="Z45" s="197">
        <f>AVERAGE($K42:$P42)*AEO!$N$18^(Z13-$P13)</f>
        <v>4.5921670358642812</v>
      </c>
      <c r="AA45" s="197">
        <f>AVERAGE($K42:$P42)*AEO!$N$18^(AA13-$P13)</f>
        <v>4.6725617782166999</v>
      </c>
      <c r="AB45" s="197">
        <f>AVERAGE($K42:$P42)*AEO!$N$18^(AB13-$P13)</f>
        <v>4.7543639856171964</v>
      </c>
      <c r="AC45" s="197">
        <f>AVERAGE($K42:$P42)*AEO!$N$18^(AC13-$P13)</f>
        <v>4.8375982984564674</v>
      </c>
      <c r="AD45" s="197">
        <f>AVERAGE($K42:$P42)*AEO!$N$18^(AD13-$P13)</f>
        <v>4.9222897885027805</v>
      </c>
      <c r="AE45" s="197">
        <f>AVERAGE($K42:$P42)*AEO!$N$18^(AE13-$P13)</f>
        <v>5.0084639664540722</v>
      </c>
      <c r="AF45" s="197">
        <f>AVERAGE($K42:$P42)*AEO!$N$18^(AF13-$P13)</f>
        <v>5.0961467896222556</v>
      </c>
      <c r="AG45" s="197">
        <f>AVERAGE($K42:$P42)*AEO!$N$18^(AG13-$P13)</f>
        <v>5.1853646697520617</v>
      </c>
      <c r="AH45" s="197">
        <f>AVERAGE($K42:$P42)*AEO!$N$18^(AH13-$P13)</f>
        <v>5.2761444809767628</v>
      </c>
      <c r="AI45" s="197">
        <f>AVERAGE($K42:$P42)*AEO!$N$18^(AI13-$P13)</f>
        <v>5.3685135679131726</v>
      </c>
      <c r="AJ45" s="197">
        <f>AVERAGE($K42:$P42)*AEO!$N$18^(AJ13-$P13)</f>
        <v>5.4624997538983733</v>
      </c>
      <c r="AK45" s="197">
        <f>AVERAGE($K42:$P42)*AEO!$N$18^(AK13-$P13)</f>
        <v>5.5581313493706315</v>
      </c>
      <c r="AL45" s="197">
        <f>AVERAGE($K42:$P42)*AEO!$N$18^(AL13-$P13)</f>
        <v>5.6554371603970495</v>
      </c>
      <c r="AM45" s="197">
        <f>AVERAGE($K42:$P42)*AEO!$N$18^(AM13-$P13)</f>
        <v>5.754446497350501</v>
      </c>
      <c r="AP45" s="7">
        <f>ROW()</f>
        <v>45</v>
      </c>
    </row>
    <row r="46" spans="2:42" ht="14" customHeight="1">
      <c r="B46" s="91" t="str">
        <f>CONCATENATE("Mean value of 2007-2012 delivery charges from Row ",AP42, ", increased at projected annual average inflation rate in Cell M",AEO!P18, " of 'AEO' tab.")</f>
        <v>Mean value of 2007-2012 delivery charges from Row 42, increased at projected annual average inflation rate in Cell M18 of 'AEO' tab.</v>
      </c>
      <c r="M46"/>
      <c r="N46"/>
      <c r="O46"/>
      <c r="P46" s="27"/>
      <c r="Q46" s="197"/>
      <c r="AP46" s="7">
        <f>ROW()</f>
        <v>46</v>
      </c>
    </row>
    <row r="47" spans="2:42" ht="14" customHeight="1">
      <c r="B47" s="32" t="str">
        <f>CONCATENATE("Ratio of Real Avg Wellhead Price to Prior Year's (w/o carbon tax); note that ",Q13, " ratio is relative to wellhead price for ",O13, ".")</f>
        <v>Ratio of Real Avg Wellhead Price to Prior Year's (w/o carbon tax); note that 2015 ratio is relative to wellhead price for 2011.</v>
      </c>
      <c r="M47"/>
      <c r="N47"/>
      <c r="O47"/>
      <c r="P47" s="27"/>
      <c r="Q47" s="172">
        <f>IF(Q$13&gt;=2036,AEO!$L12,(IF(Q$13&gt;=2026,AEO!$K12,AEO!$J12)))</f>
        <v>1.0171428386797807</v>
      </c>
      <c r="R47" s="172">
        <f>IF(R$13&gt;=2036,AEO!$L12,(IF(R$13&gt;=2026,AEO!$K12,AEO!$J12)))</f>
        <v>1.0171428386797807</v>
      </c>
      <c r="S47" s="172">
        <f>IF(S$13&gt;=2036,AEO!$L12,(IF(S$13&gt;=2026,AEO!$K12,AEO!$J12)))</f>
        <v>1.0171428386797807</v>
      </c>
      <c r="T47" s="172">
        <f>IF(T$13&gt;=2036,AEO!$L12,(IF(T$13&gt;=2026,AEO!$K12,AEO!$J12)))</f>
        <v>1.0171428386797807</v>
      </c>
      <c r="U47" s="172">
        <f>IF(U$13&gt;=2036,AEO!$L12,(IF(U$13&gt;=2026,AEO!$K12,AEO!$J12)))</f>
        <v>1.0171428386797807</v>
      </c>
      <c r="V47" s="172">
        <f>IF(V$13&gt;=2036,AEO!$L12,(IF(V$13&gt;=2026,AEO!$K12,AEO!$J12)))</f>
        <v>1.0171428386797807</v>
      </c>
      <c r="W47" s="172">
        <f>IF(W$13&gt;=2036,AEO!$L12,(IF(W$13&gt;=2026,AEO!$K12,AEO!$J12)))</f>
        <v>1.0171428386797807</v>
      </c>
      <c r="X47" s="172">
        <f>IF(X$13&gt;=2036,AEO!$L12,(IF(X$13&gt;=2026,AEO!$K12,AEO!$J12)))</f>
        <v>1.0171428386797807</v>
      </c>
      <c r="Y47" s="172">
        <f>IF(Y$13&gt;=2036,AEO!$L12,(IF(Y$13&gt;=2026,AEO!$K12,AEO!$J12)))</f>
        <v>1.0171428386797807</v>
      </c>
      <c r="Z47" s="172">
        <f>IF(Z$13&gt;=2036,AEO!$L12,(IF(Z$13&gt;=2026,AEO!$K12,AEO!$J12)))</f>
        <v>1.0171428386797807</v>
      </c>
      <c r="AA47" s="172">
        <f>IF(AA$13&gt;=2036,AEO!$L12,(IF(AA$13&gt;=2026,AEO!$K12,AEO!$J12)))</f>
        <v>1.0171428386797807</v>
      </c>
      <c r="AB47" s="172">
        <f>IF(AB$13&gt;=2036,AEO!$L12,(IF(AB$13&gt;=2026,AEO!$K12,AEO!$J12)))</f>
        <v>1.0264051246095105</v>
      </c>
      <c r="AC47" s="172">
        <f>IF(AC$13&gt;=2036,AEO!$L12,(IF(AC$13&gt;=2026,AEO!$K12,AEO!$J12)))</f>
        <v>1.0264051246095105</v>
      </c>
      <c r="AD47" s="172">
        <f>IF(AD$13&gt;=2036,AEO!$L12,(IF(AD$13&gt;=2026,AEO!$K12,AEO!$J12)))</f>
        <v>1.0264051246095105</v>
      </c>
      <c r="AE47" s="172">
        <f>IF(AE$13&gt;=2036,AEO!$L12,(IF(AE$13&gt;=2026,AEO!$K12,AEO!$J12)))</f>
        <v>1.0264051246095105</v>
      </c>
      <c r="AF47" s="172">
        <f>IF(AF$13&gt;=2036,AEO!$L12,(IF(AF$13&gt;=2026,AEO!$K12,AEO!$J12)))</f>
        <v>1.0264051246095105</v>
      </c>
      <c r="AG47" s="172">
        <f>IF(AG$13&gt;=2036,AEO!$L12,(IF(AG$13&gt;=2026,AEO!$K12,AEO!$J12)))</f>
        <v>1.0264051246095105</v>
      </c>
      <c r="AH47" s="172">
        <f>IF(AH$13&gt;=2036,AEO!$L12,(IF(AH$13&gt;=2026,AEO!$K12,AEO!$J12)))</f>
        <v>1.0264051246095105</v>
      </c>
      <c r="AI47" s="172">
        <f>IF(AI$13&gt;=2036,AEO!$L12,(IF(AI$13&gt;=2026,AEO!$K12,AEO!$J12)))</f>
        <v>1.0264051246095105</v>
      </c>
      <c r="AJ47" s="172">
        <f>IF(AJ$13&gt;=2036,AEO!$L12,(IF(AJ$13&gt;=2026,AEO!$K12,AEO!$J12)))</f>
        <v>1.0264051246095105</v>
      </c>
      <c r="AK47" s="172">
        <f>IF(AK$13&gt;=2036,AEO!$L12,(IF(AK$13&gt;=2026,AEO!$K12,AEO!$J12)))</f>
        <v>1.0264051246095105</v>
      </c>
      <c r="AL47" s="172">
        <f>IF(AL$13&gt;=2036,AEO!$L12,(IF(AL$13&gt;=2026,AEO!$K12,AEO!$J12)))</f>
        <v>1.0437799176290077</v>
      </c>
      <c r="AM47" s="172">
        <f>IF(AM$13&gt;=2036,AEO!$L12,(IF(AM$13&gt;=2026,AEO!$K12,AEO!$J12)))</f>
        <v>1.0437799176290077</v>
      </c>
      <c r="AP47" s="7">
        <f>ROW()</f>
        <v>47</v>
      </c>
    </row>
    <row r="48" spans="2:42" ht="14" customHeight="1">
      <c r="B48" s="91" t="str">
        <f>CONCATENATE("AEO projections, from 'AEO' tab, Row ",AEO!P12, ".")</f>
        <v>AEO projections, from 'AEO' tab, Row 12.</v>
      </c>
      <c r="M48"/>
      <c r="N48"/>
      <c r="P48" s="27"/>
      <c r="Q48" s="197"/>
      <c r="AP48" s="7">
        <f>ROW()</f>
        <v>48</v>
      </c>
    </row>
    <row r="49" spans="2:42" ht="14" customHeight="1">
      <c r="B49" s="32" t="s">
        <v>579</v>
      </c>
      <c r="M49"/>
      <c r="N49"/>
      <c r="P49" s="27"/>
      <c r="Q49" s="197">
        <f>O40*Q47^(Q13-O13)</f>
        <v>4.1087479823228188</v>
      </c>
      <c r="R49" s="197">
        <f t="shared" ref="R49:AM49" si="7">Q49*R47</f>
        <v>4.1791835861596534</v>
      </c>
      <c r="S49" s="197">
        <f t="shared" si="7"/>
        <v>4.2508266561903758</v>
      </c>
      <c r="T49" s="197">
        <f t="shared" si="7"/>
        <v>4.3236978918131594</v>
      </c>
      <c r="U49" s="197">
        <f t="shared" si="7"/>
        <v>4.3978183472726204</v>
      </c>
      <c r="V49" s="197">
        <f t="shared" si="7"/>
        <v>4.473209437742895</v>
      </c>
      <c r="W49" s="197">
        <f t="shared" si="7"/>
        <v>4.5498929455149941</v>
      </c>
      <c r="X49" s="197">
        <f t="shared" si="7"/>
        <v>4.6278910262902304</v>
      </c>
      <c r="Y49" s="197">
        <f t="shared" si="7"/>
        <v>4.707226215581529</v>
      </c>
      <c r="Z49" s="197">
        <f t="shared" si="7"/>
        <v>4.7879214352244777</v>
      </c>
      <c r="AA49" s="197">
        <f t="shared" si="7"/>
        <v>4.8699999999999948</v>
      </c>
      <c r="AB49" s="197">
        <f t="shared" si="7"/>
        <v>4.9985929568483112</v>
      </c>
      <c r="AC49" s="197">
        <f t="shared" si="7"/>
        <v>5.1305814267461125</v>
      </c>
      <c r="AD49" s="197">
        <f t="shared" si="7"/>
        <v>5.2660550686385834</v>
      </c>
      <c r="AE49" s="197">
        <f t="shared" si="7"/>
        <v>5.4051059089265294</v>
      </c>
      <c r="AF49" s="197">
        <f t="shared" si="7"/>
        <v>5.5478284039793362</v>
      </c>
      <c r="AG49" s="197">
        <f t="shared" si="7"/>
        <v>5.6943195042985923</v>
      </c>
      <c r="AH49" s="197">
        <f t="shared" si="7"/>
        <v>5.8446787203759625</v>
      </c>
      <c r="AI49" s="197">
        <f t="shared" si="7"/>
        <v>5.9990081902900441</v>
      </c>
      <c r="AJ49" s="197">
        <f t="shared" si="7"/>
        <v>6.1574127490881265</v>
      </c>
      <c r="AK49" s="197">
        <f t="shared" si="7"/>
        <v>6.319999999999987</v>
      </c>
      <c r="AL49" s="197">
        <f t="shared" si="7"/>
        <v>6.5966890794153148</v>
      </c>
      <c r="AM49" s="197">
        <f t="shared" si="7"/>
        <v>6.8854915839362913</v>
      </c>
      <c r="AP49" s="7">
        <f>ROW()</f>
        <v>49</v>
      </c>
    </row>
    <row r="50" spans="2:42" ht="14" customHeight="1">
      <c r="B50" s="91" t="str">
        <f>CONCATENATE("Begins with 2011 price in Cell O",AP40, " and escalates per ratios in Row ",AP47, " (accounting for multi-year interval from 2011 to first carbon-tax year).")</f>
        <v>Begins with 2011 price in Cell O40 and escalates per ratios in Row 47 (accounting for multi-year interval from 2011 to first carbon-tax year).</v>
      </c>
      <c r="M50"/>
      <c r="N50"/>
      <c r="P50" s="27"/>
      <c r="AP50" s="7">
        <f>ROW()</f>
        <v>50</v>
      </c>
    </row>
    <row r="51" spans="2:42" ht="14" customHeight="1">
      <c r="B51" s="32" t="s">
        <v>578</v>
      </c>
      <c r="M51"/>
      <c r="N51"/>
      <c r="P51" s="27"/>
      <c r="Q51" s="197">
        <f>Q49*AEO!$N$18^(Q13-$O13)</f>
        <v>4.4041185956365414</v>
      </c>
      <c r="R51" s="197">
        <f>R49*AEO!$N$18^(R13-$O13)</f>
        <v>4.5580420391954455</v>
      </c>
      <c r="S51" s="197">
        <f>S49*AEO!$N$18^(S13-$O13)</f>
        <v>4.7173450895843079</v>
      </c>
      <c r="T51" s="197">
        <f>T49*AEO!$N$18^(T13-$O13)</f>
        <v>4.8822157634494294</v>
      </c>
      <c r="U51" s="197">
        <f>U49*AEO!$N$18^(U13-$O13)</f>
        <v>5.0528486485974931</v>
      </c>
      <c r="V51" s="197">
        <f>V49*AEO!$N$18^(V13-$O13)</f>
        <v>5.2294451336568777</v>
      </c>
      <c r="W51" s="197">
        <f>W49*AEO!$N$18^(W13-$O13)</f>
        <v>5.4122136457655943</v>
      </c>
      <c r="X51" s="197">
        <f>X49*AEO!$N$18^(X13-$O13)</f>
        <v>5.6013698965664043</v>
      </c>
      <c r="Y51" s="197">
        <f>Y49*AEO!$N$18^(Y13-$O13)</f>
        <v>5.7971371367994244</v>
      </c>
      <c r="Z51" s="197">
        <f>Z49*AEO!$N$18^(Z13-$O13)</f>
        <v>5.9997464197927233</v>
      </c>
      <c r="AA51" s="197">
        <f>AA49*AEO!$N$18^(AA13-$O13)</f>
        <v>6.2094368741618853</v>
      </c>
      <c r="AB51" s="197">
        <f>AB49*AEO!$N$18^(AB13-$O13)</f>
        <v>6.4849764519906659</v>
      </c>
      <c r="AC51" s="197">
        <f>AC49*AEO!$N$18^(AC13-$O13)</f>
        <v>6.772742912947284</v>
      </c>
      <c r="AD51" s="197">
        <f>AD49*AEO!$N$18^(AD13-$O13)</f>
        <v>7.0732788167329614</v>
      </c>
      <c r="AE51" s="197">
        <f>AE49*AEO!$N$18^(AE13-$O13)</f>
        <v>7.3871507987701275</v>
      </c>
      <c r="AF51" s="197">
        <f>AF49*AEO!$N$18^(AF13-$O13)</f>
        <v>7.7149506385463216</v>
      </c>
      <c r="AG51" s="197">
        <f>AG49*AEO!$N$18^(AG13-$O13)</f>
        <v>8.0572963753651461</v>
      </c>
      <c r="AH51" s="197">
        <f>AH49*AEO!$N$18^(AH13-$O13)</f>
        <v>8.4148334736079136</v>
      </c>
      <c r="AI51" s="197">
        <f>AI49*AEO!$N$18^(AI13-$O13)</f>
        <v>8.7882360397029853</v>
      </c>
      <c r="AJ51" s="197">
        <f>AJ49*AEO!$N$18^(AJ13-$O13)</f>
        <v>9.1782080930973251</v>
      </c>
      <c r="AK51" s="197">
        <f>AK49*AEO!$N$18^(AK13-$O13)</f>
        <v>9.5854848936265302</v>
      </c>
      <c r="AL51" s="197">
        <f>AL49*AEO!$N$18^(AL13-$O13)</f>
        <v>10.180295849584212</v>
      </c>
      <c r="AM51" s="197">
        <f>AM49*AEO!$N$18^(AM13-$O13)</f>
        <v>10.812016787379379</v>
      </c>
      <c r="AP51" s="7">
        <f>ROW()</f>
        <v>51</v>
      </c>
    </row>
    <row r="52" spans="2:42" ht="14" customHeight="1">
      <c r="B52" s="91" t="str">
        <f>CONCATENATE("Applies 'AEO' tab average inflation rate from 2010-2035 to 2011-$ price in Row ",AP49, ", with appropriate exponentiation to capture interval from 2011 to instant year.")</f>
        <v>Applies 'AEO' tab average inflation rate from 2010-2035 to 2011-$ price in Row 49, with appropriate exponentiation to capture interval from 2011 to instant year.</v>
      </c>
      <c r="M52"/>
      <c r="N52"/>
      <c r="P52" s="27"/>
      <c r="AP52" s="7">
        <f>ROW()</f>
        <v>52</v>
      </c>
    </row>
    <row r="53" spans="2:42" ht="14" customHeight="1">
      <c r="B53" s="32" t="s">
        <v>580</v>
      </c>
      <c r="M53"/>
      <c r="N53"/>
      <c r="P53" s="27"/>
      <c r="Q53" s="197">
        <f t="shared" ref="Q53:AM53" si="8">Q51+Q45</f>
        <v>8.332207408025587</v>
      </c>
      <c r="R53" s="197">
        <f t="shared" si="8"/>
        <v>8.5548996236137071</v>
      </c>
      <c r="S53" s="197">
        <f t="shared" si="8"/>
        <v>8.784175376042608</v>
      </c>
      <c r="T53" s="197">
        <f t="shared" si="8"/>
        <v>9.0202437590758358</v>
      </c>
      <c r="U53" s="197">
        <f t="shared" si="8"/>
        <v>9.2633208066329171</v>
      </c>
      <c r="V53" s="197">
        <f t="shared" si="8"/>
        <v>9.5136297289106437</v>
      </c>
      <c r="W53" s="197">
        <f t="shared" si="8"/>
        <v>9.7714011566440995</v>
      </c>
      <c r="X53" s="197">
        <f t="shared" si="8"/>
        <v>10.036873393789904</v>
      </c>
      <c r="Y53" s="197">
        <f t="shared" si="8"/>
        <v>10.31029267892408</v>
      </c>
      <c r="Z53" s="197">
        <f t="shared" si="8"/>
        <v>10.591913455657004</v>
      </c>
      <c r="AA53" s="197">
        <f t="shared" si="8"/>
        <v>10.881998652378584</v>
      </c>
      <c r="AB53" s="197">
        <f t="shared" si="8"/>
        <v>11.239340437607861</v>
      </c>
      <c r="AC53" s="197">
        <f t="shared" si="8"/>
        <v>11.610341211403751</v>
      </c>
      <c r="AD53" s="197">
        <f t="shared" si="8"/>
        <v>11.995568605235743</v>
      </c>
      <c r="AE53" s="197">
        <f t="shared" si="8"/>
        <v>12.395614765224199</v>
      </c>
      <c r="AF53" s="197">
        <f t="shared" si="8"/>
        <v>12.811097428168576</v>
      </c>
      <c r="AG53" s="197">
        <f t="shared" si="8"/>
        <v>13.242661045117208</v>
      </c>
      <c r="AH53" s="197">
        <f t="shared" si="8"/>
        <v>13.690977954584676</v>
      </c>
      <c r="AI53" s="197">
        <f t="shared" si="8"/>
        <v>14.156749607616158</v>
      </c>
      <c r="AJ53" s="197">
        <f t="shared" si="8"/>
        <v>14.640707846995699</v>
      </c>
      <c r="AK53" s="197">
        <f t="shared" si="8"/>
        <v>15.143616242997162</v>
      </c>
      <c r="AL53" s="197">
        <f t="shared" si="8"/>
        <v>15.835733009981261</v>
      </c>
      <c r="AM53" s="197">
        <f t="shared" si="8"/>
        <v>16.566463284729881</v>
      </c>
      <c r="AP53" s="7">
        <f>ROW()</f>
        <v>53</v>
      </c>
    </row>
    <row r="54" spans="2:42" ht="14" customHeight="1">
      <c r="B54" s="91" t="str">
        <f>CONCATENATE("Sum of Rows ",AP45, " and ",AP51, ".")</f>
        <v>Sum of Rows 45 and 51.</v>
      </c>
      <c r="M54"/>
      <c r="N54"/>
      <c r="P54" s="27"/>
      <c r="AP54" s="7">
        <f>ROW()</f>
        <v>54</v>
      </c>
    </row>
    <row r="55" spans="2:42" ht="14" customHeight="1">
      <c r="B55" s="32" t="s">
        <v>581</v>
      </c>
      <c r="K55" s="197">
        <f>K38*1/(AEO!$N$18)^(K13-2012)</f>
        <v>10.619385334063548</v>
      </c>
      <c r="L55" s="197">
        <f>L38*1/(AEO!$N$18)^(L13-2012)</f>
        <v>11.939933621758055</v>
      </c>
      <c r="M55" s="197">
        <f>M38*1/(AEO!$N$18)^(M13-2012)</f>
        <v>8.6129812760537643</v>
      </c>
      <c r="N55" s="197">
        <f>N38*1/(AEO!$N$18)^(N13-2012)</f>
        <v>8.0750847301860649</v>
      </c>
      <c r="O55" s="197">
        <f>O38*1/(AEO!$N$18)^(O13-2012)</f>
        <v>7.5055550501418198</v>
      </c>
      <c r="P55" s="436">
        <f>P38*1/(AEO!$N$18)^(P13-2012)</f>
        <v>6.3081682727921047</v>
      </c>
      <c r="Q55" s="197">
        <f>Q53*1/(AEO!$N$18)^(Q13-2012)</f>
        <v>7.9094802491822866</v>
      </c>
      <c r="R55" s="197">
        <f>R53*1/(AEO!$N$18)^(R13-2012)</f>
        <v>7.9811489641360875</v>
      </c>
      <c r="S55" s="197">
        <f>S53*1/(AEO!$N$18)^(S13-2012)</f>
        <v>8.0540462843087308</v>
      </c>
      <c r="T55" s="197">
        <f>T53*1/(AEO!$N$18)^(T13-2012)</f>
        <v>8.1281932714812832</v>
      </c>
      <c r="U55" s="197">
        <f>U53*1/(AEO!$N$18)^(U13-2012)</f>
        <v>8.2036113484935242</v>
      </c>
      <c r="V55" s="197">
        <f>V53*1/(AEO!$N$18)^(V13-2012)</f>
        <v>8.2803223054335273</v>
      </c>
      <c r="W55" s="197">
        <f>W53*1/(AEO!$N$18)^(W13-2012)</f>
        <v>8.3583483059333243</v>
      </c>
      <c r="X55" s="197">
        <f>X53*1/(AEO!$N$18)^(X13-2012)</f>
        <v>8.4377118935725157</v>
      </c>
      <c r="Y55" s="197">
        <f>Y53*1/(AEO!$N$18)^(Y13-2012)</f>
        <v>8.5184359983916575</v>
      </c>
      <c r="Z55" s="197">
        <f>Z53*1/(AEO!$N$18)^(Z13-2012)</f>
        <v>8.6005439435172804</v>
      </c>
      <c r="AA55" s="197">
        <f>AA53*1/(AEO!$N$18)^(AA13-2012)</f>
        <v>8.6840594519005201</v>
      </c>
      <c r="AB55" s="197">
        <f>AB53*1/(AEO!$N$18)^(AB13-2012)</f>
        <v>8.8149036765170639</v>
      </c>
      <c r="AC55" s="197">
        <f>AC53*1/(AEO!$N$18)^(AC13-2012)</f>
        <v>8.9492028591890431</v>
      </c>
      <c r="AD55" s="197">
        <f>AD53*1/(AEO!$N$18)^(AD13-2012)</f>
        <v>9.0870482285144298</v>
      </c>
      <c r="AE55" s="197">
        <f>AE53*1/(AEO!$N$18)^(AE13-2012)</f>
        <v>9.2285334219936956</v>
      </c>
      <c r="AF55" s="197">
        <f>AF53*1/(AEO!$N$18)^(AF13-2012)</f>
        <v>9.3737545496371837</v>
      </c>
      <c r="AG55" s="197">
        <f>AG53*1/(AEO!$N$18)^(AG13-2012)</f>
        <v>9.5228102592520312</v>
      </c>
      <c r="AH55" s="197">
        <f>AH53*1/(AEO!$N$18)^(AH13-2012)</f>
        <v>9.6758018034530195</v>
      </c>
      <c r="AI55" s="197">
        <f>AI53*1/(AEO!$N$18)^(AI13-2012)</f>
        <v>9.8328331084428342</v>
      </c>
      <c r="AJ55" s="197">
        <f>AJ53*1/(AEO!$N$18)^(AJ13-2012)</f>
        <v>9.9940108446085016</v>
      </c>
      <c r="AK55" s="197">
        <f>AK53*1/(AEO!$N$18)^(AK13-2012)</f>
        <v>10.159444498981898</v>
      </c>
      <c r="AL55" s="197">
        <f>AL53*1/(AEO!$N$18)^(AL13-2012)</f>
        <v>10.440977554471617</v>
      </c>
      <c r="AM55" s="197">
        <f>AM53*1/(AEO!$N$18)^(AM13-2012)</f>
        <v>10.734836103940514</v>
      </c>
      <c r="AP55" s="7">
        <f>ROW()</f>
        <v>55</v>
      </c>
    </row>
    <row r="56" spans="2:42" ht="14" customHeight="1">
      <c r="B56" s="91" t="str">
        <f>CONCATENATE("Applies reciprocal of 'AEO' tab average inflation rate from 2010-2035 to nominal price in Row ",AP53, ". Pre-2010 years should use pre-2010 inflation indices, but impact would be slight.")</f>
        <v>Applies reciprocal of 'AEO' tab average inflation rate from 2010-2035 to nominal price in Row 53. Pre-2010 years should use pre-2010 inflation indices, but impact would be slight.</v>
      </c>
      <c r="M56"/>
      <c r="N56"/>
      <c r="P56" s="27"/>
      <c r="AP56" s="7">
        <f>ROW()</f>
        <v>56</v>
      </c>
    </row>
    <row r="57" spans="2:42" ht="14" customHeight="1">
      <c r="B57" s="32" t="s">
        <v>582</v>
      </c>
      <c r="M57"/>
      <c r="N57"/>
      <c r="P57" s="27"/>
      <c r="Q57" s="427">
        <f>Q55/AVERAGE(K55:P55)</f>
        <v>0.89438164842315593</v>
      </c>
      <c r="R57" s="427">
        <f t="shared" ref="R57:AM57" si="9">R55/Q55</f>
        <v>1.0090611156101199</v>
      </c>
      <c r="S57" s="427">
        <f t="shared" si="9"/>
        <v>1.0091336874553041</v>
      </c>
      <c r="T57" s="427">
        <f t="shared" si="9"/>
        <v>1.0092061784294695</v>
      </c>
      <c r="U57" s="427">
        <f t="shared" si="9"/>
        <v>1.0092785782145282</v>
      </c>
      <c r="V57" s="427">
        <f t="shared" si="9"/>
        <v>1.0093508765446439</v>
      </c>
      <c r="W57" s="427">
        <f t="shared" si="9"/>
        <v>1.0094230632119956</v>
      </c>
      <c r="X57" s="427">
        <f t="shared" si="9"/>
        <v>1.0094951280724751</v>
      </c>
      <c r="Y57" s="427">
        <f t="shared" si="9"/>
        <v>1.0095670610513063</v>
      </c>
      <c r="Z57" s="427">
        <f t="shared" si="9"/>
        <v>1.0096388521485782</v>
      </c>
      <c r="AA57" s="427">
        <f t="shared" si="9"/>
        <v>1.0097104914446939</v>
      </c>
      <c r="AB57" s="427">
        <f t="shared" si="9"/>
        <v>1.0150671728287062</v>
      </c>
      <c r="AC57" s="427">
        <f t="shared" si="9"/>
        <v>1.0152354679756459</v>
      </c>
      <c r="AD57" s="427">
        <f t="shared" si="9"/>
        <v>1.0154030891347878</v>
      </c>
      <c r="AE57" s="427">
        <f t="shared" si="9"/>
        <v>1.0155699837748517</v>
      </c>
      <c r="AF57" s="427">
        <f t="shared" si="9"/>
        <v>1.0157361003100875</v>
      </c>
      <c r="AG57" s="427">
        <f t="shared" si="9"/>
        <v>1.0159013881604801</v>
      </c>
      <c r="AH57" s="427">
        <f t="shared" si="9"/>
        <v>1.0160657978092493</v>
      </c>
      <c r="AI57" s="427">
        <f t="shared" si="9"/>
        <v>1.0162292808575073</v>
      </c>
      <c r="AJ57" s="427">
        <f t="shared" si="9"/>
        <v>1.0163917900759725</v>
      </c>
      <c r="AK57" s="427">
        <f t="shared" si="9"/>
        <v>1.0165532794536283</v>
      </c>
      <c r="AL57" s="427">
        <f t="shared" si="9"/>
        <v>1.0277114615388598</v>
      </c>
      <c r="AM57" s="427">
        <f t="shared" si="9"/>
        <v>1.0281447352928217</v>
      </c>
      <c r="AP57" s="7">
        <f>ROW()</f>
        <v>57</v>
      </c>
    </row>
    <row r="58" spans="2:42" ht="14" customHeight="1">
      <c r="B58" s="91" t="str">
        <f>CONCATENATE("Ratio of instant to prior year in Row ",AP55, ", except that first-year value uses mean value for 2007-2012 for prior year.")</f>
        <v>Ratio of instant to prior year in Row 55, except that first-year value uses mean value for 2007-2012 for prior year.</v>
      </c>
      <c r="K58" s="128">
        <f t="shared" ref="K58:P58" si="10">K26*1000</f>
        <v>21178.744123200813</v>
      </c>
      <c r="L58" s="128">
        <f t="shared" si="10"/>
        <v>20913.576546825047</v>
      </c>
      <c r="M58" s="128">
        <f t="shared" si="10"/>
        <v>19416.925389744712</v>
      </c>
      <c r="N58" s="128">
        <f t="shared" si="10"/>
        <v>20089.280245450696</v>
      </c>
      <c r="O58" s="128">
        <f t="shared" si="10"/>
        <v>19866.567138112288</v>
      </c>
      <c r="P58" s="285">
        <f t="shared" si="10"/>
        <v>19018.895475160109</v>
      </c>
      <c r="AP58" s="7">
        <f>ROW()</f>
        <v>58</v>
      </c>
    </row>
    <row r="59" spans="2:42" ht="14" customHeight="1">
      <c r="B59" s="32" t="s">
        <v>734</v>
      </c>
      <c r="I59" s="128"/>
      <c r="J59" s="128"/>
      <c r="K59" s="128">
        <f t="shared" ref="K59:P59" si="11">1000*K30</f>
        <v>11224.734385296433</v>
      </c>
      <c r="L59" s="128">
        <f t="shared" si="11"/>
        <v>11084.195569817275</v>
      </c>
      <c r="M59" s="128">
        <f t="shared" si="11"/>
        <v>9902.6319487698038</v>
      </c>
      <c r="N59" s="128">
        <f t="shared" si="11"/>
        <v>10446.425727634361</v>
      </c>
      <c r="O59" s="128">
        <f t="shared" si="11"/>
        <v>10131.949240437267</v>
      </c>
      <c r="P59" s="285">
        <f t="shared" si="11"/>
        <v>10270.203556586459</v>
      </c>
      <c r="Q59" s="128">
        <f>P59*((AEO!J17^Parameters!$H$10)*((AEO!J12)^Parameters!G10))^(Q13-2012)*Q57^Parameters!G10</f>
        <v>11216.770802915873</v>
      </c>
      <c r="R59" s="128">
        <f>Q59*IF(R$13&gt;=2036,AEO!$L17,(IF(R$13&gt;=2026,AEO!$K17,AEO!$J17)))^Parameters!$H$10*R57^Parameters!$G$10</f>
        <v>11383.701378510386</v>
      </c>
      <c r="S59" s="128">
        <f>R59*IF(S$13&gt;=2036,AEO!$L17,(IF(S$13&gt;=2026,AEO!$K17,AEO!$J17)))^Parameters!$H$10*S57^Parameters!$G$10</f>
        <v>11552.700824889063</v>
      </c>
      <c r="T59" s="128">
        <f>S59*IF(T$13&gt;=2036,AEO!$L17,(IF(T$13&gt;=2026,AEO!$K17,AEO!$J17)))^Parameters!$H$10*T57^Parameters!$G$10</f>
        <v>11723.788111985219</v>
      </c>
      <c r="U59" s="128">
        <f>T59*IF(U$13&gt;=2036,AEO!$L17,(IF(U$13&gt;=2026,AEO!$K17,AEO!$J17)))^Parameters!$H$10*U57^Parameters!$G$10</f>
        <v>11896.982347010693</v>
      </c>
      <c r="V59" s="128">
        <f>U59*IF(V$13&gt;=2036,AEO!$L17,(IF(V$13&gt;=2026,AEO!$K17,AEO!$J17)))^Parameters!$H$10*V57^Parameters!$G$10</f>
        <v>12072.302777518657</v>
      </c>
      <c r="W59" s="128">
        <f>V59*IF(W$13&gt;=2036,AEO!$L17,(IF(W$13&gt;=2026,AEO!$K17,AEO!$J17)))^Parameters!$H$10*W57^Parameters!$G$10</f>
        <v>12249.768794545294</v>
      </c>
      <c r="X59" s="128">
        <f>W59*IF(X$13&gt;=2036,AEO!$L17,(IF(X$13&gt;=2026,AEO!$K17,AEO!$J17)))^Parameters!$H$10*X57^Parameters!$G$10</f>
        <v>12429.399935829446</v>
      </c>
      <c r="Y59" s="128">
        <f>X59*IF(Y$13&gt;=2036,AEO!$L17,(IF(Y$13&gt;=2026,AEO!$K17,AEO!$J17)))^Parameters!$H$10*Y57^Parameters!$G$10</f>
        <v>12611.215889109188</v>
      </c>
      <c r="Z59" s="128">
        <f>Y59*IF(Z$13&gt;=2036,AEO!$L17,(IF(Z$13&gt;=2026,AEO!$K17,AEO!$J17)))^Parameters!$H$10*Z57^Parameters!$G$10</f>
        <v>12795.236495494339</v>
      </c>
      <c r="AA59" s="128">
        <f>Z59*IF(AA$13&gt;=2036,AEO!$L17,(IF(AA$13&gt;=2026,AEO!$K17,AEO!$J17)))^Parameters!$H$10*AA57^Parameters!$G$10</f>
        <v>12981.481752913724</v>
      </c>
      <c r="AB59" s="128">
        <f>AA59*IF(AB$13&gt;=2036,AEO!$L17,(IF(AB$13&gt;=2026,AEO!$K17,AEO!$J17)))^Parameters!$H$10*AB57^Parameters!$G$10</f>
        <v>13117.183692564342</v>
      </c>
      <c r="AC59" s="128">
        <f>AB59*IF(AC$13&gt;=2036,AEO!$L17,(IF(AC$13&gt;=2026,AEO!$K17,AEO!$J17)))^Parameters!$H$10*AC57^Parameters!$G$10</f>
        <v>13253.205566967035</v>
      </c>
      <c r="AD59" s="128">
        <f>AC59*IF(AD$13&gt;=2036,AEO!$L17,(IF(AD$13&gt;=2026,AEO!$K17,AEO!$J17)))^Parameters!$H$10*AD57^Parameters!$G$10</f>
        <v>13389.532655337509</v>
      </c>
      <c r="AE59" s="128">
        <f>AD59*IF(AE$13&gt;=2036,AEO!$L17,(IF(AE$13&gt;=2026,AEO!$K17,AEO!$J17)))^Parameters!$H$10*AE57^Parameters!$G$10</f>
        <v>13526.150498340769</v>
      </c>
      <c r="AF59" s="128">
        <f>AE59*IF(AF$13&gt;=2036,AEO!$L17,(IF(AF$13&gt;=2026,AEO!$K17,AEO!$J17)))^Parameters!$H$10*AF57^Parameters!$G$10</f>
        <v>13663.044913736496</v>
      </c>
      <c r="AG59" s="128">
        <f>AF59*IF(AG$13&gt;=2036,AEO!$L17,(IF(AG$13&gt;=2026,AEO!$K17,AEO!$J17)))^Parameters!$H$10*AG57^Parameters!$G$10</f>
        <v>13800.202011357638</v>
      </c>
      <c r="AH59" s="128">
        <f>AG59*IF(AH$13&gt;=2036,AEO!$L17,(IF(AH$13&gt;=2026,AEO!$K17,AEO!$J17)))^Parameters!$H$10*AH57^Parameters!$G$10</f>
        <v>13937.608207395549</v>
      </c>
      <c r="AI59" s="128">
        <f>AH59*IF(AI$13&gt;=2036,AEO!$L17,(IF(AI$13&gt;=2026,AEO!$K17,AEO!$J17)))^Parameters!$H$10*AI57^Parameters!$G$10</f>
        <v>14075.250237967835</v>
      </c>
      <c r="AJ59" s="128">
        <f>AI59*IF(AJ$13&gt;=2036,AEO!$L17,(IF(AJ$13&gt;=2026,AEO!$K17,AEO!$J17)))^Parameters!$H$10*AJ57^Parameters!$G$10</f>
        <v>14213.115171947737</v>
      </c>
      <c r="AK59" s="128">
        <f>AJ59*IF(AK$13&gt;=2036,AEO!$L17,(IF(AK$13&gt;=2026,AEO!$K17,AEO!$J17)))^Parameters!$H$10*AK57^Parameters!$G$10</f>
        <v>14351.190423036884</v>
      </c>
      <c r="AL59" s="128">
        <f>AK59*IF(AL$13&gt;=2036,AEO!$L17,(IF(AL$13&gt;=2026,AEO!$K17,AEO!$J17)))^Parameters!$H$10*AL57^Parameters!$G$10</f>
        <v>14422.241980181832</v>
      </c>
      <c r="AM59" s="128">
        <f>AL59*IF(AM$13&gt;=2036,AEO!$L17,(IF(AM$13&gt;=2026,AEO!$K17,AEO!$J17)))^Parameters!$H$10*AM57^Parameters!$G$10</f>
        <v>14490.591079243355</v>
      </c>
      <c r="AP59" s="7">
        <f>ROW()</f>
        <v>59</v>
      </c>
    </row>
    <row r="60" spans="2:42" ht="14" customHeight="1">
      <c r="B60" s="768" t="str">
        <f>CONCATENATE("Historical figures are Row ",AP30, " figures multiplied by 1,000. Projections for ",Q13, " and later apply (i) 'other' sector's income-elasticity in 'Parameters' page, Row ",Parameters!O10,", to assumed real GDP growth rate in 'AEO' tab, Row ",AEO!$P$17, ", with IF statement selecting applicable growth rate for income; and (ii) 'other' sector's price-elasticity in  'Parameters' page, Row ",Parameters!O10,", to year-on-year real increase in natural gas price in Row ",AP57, ". First-year value dispenses with IF statement and pivots off year-2012.")</f>
        <v>Historical figures are Row 30 figures multiplied by 1,000. Projections for 2015 and later apply (i) 'other' sector's income-elasticity in 'Parameters' page, Row 10, to assumed real GDP growth rate in 'AEO' tab, Row 17, with IF statement selecting applicable growth rate for income; and (ii) 'other' sector's price-elasticity in  'Parameters' page, Row 10, to year-on-year real increase in natural gas price in Row 57. First-year value dispenses with IF statement and pivots off year-2012.</v>
      </c>
      <c r="C60" s="768"/>
      <c r="D60" s="768"/>
      <c r="E60" s="768"/>
      <c r="F60" s="768"/>
      <c r="G60" s="768"/>
      <c r="H60" s="768"/>
      <c r="I60" s="768"/>
      <c r="J60" s="768"/>
      <c r="K60" s="768"/>
      <c r="L60" s="768"/>
      <c r="M60" s="768"/>
      <c r="N60" s="768"/>
      <c r="O60" s="279"/>
      <c r="P60" s="441"/>
      <c r="AP60" s="7">
        <f>ROW()</f>
        <v>60</v>
      </c>
    </row>
    <row r="61" spans="2:42" ht="14" customHeight="1">
      <c r="B61" s="768"/>
      <c r="C61" s="768"/>
      <c r="D61" s="768"/>
      <c r="E61" s="768"/>
      <c r="F61" s="768"/>
      <c r="G61" s="768"/>
      <c r="H61" s="768"/>
      <c r="I61" s="768"/>
      <c r="J61" s="768"/>
      <c r="K61" s="768"/>
      <c r="L61" s="768"/>
      <c r="M61" s="768"/>
      <c r="N61" s="768"/>
      <c r="O61" s="279"/>
      <c r="P61" s="441"/>
      <c r="AP61" s="7">
        <f>ROW()</f>
        <v>61</v>
      </c>
    </row>
    <row r="62" spans="2:42" ht="14" customHeight="1">
      <c r="B62" s="768"/>
      <c r="C62" s="768"/>
      <c r="D62" s="768"/>
      <c r="E62" s="768"/>
      <c r="F62" s="768"/>
      <c r="G62" s="768"/>
      <c r="H62" s="768"/>
      <c r="I62" s="768"/>
      <c r="J62" s="768"/>
      <c r="K62" s="768"/>
      <c r="L62" s="768"/>
      <c r="M62" s="768"/>
      <c r="N62" s="768"/>
      <c r="O62" s="279"/>
      <c r="P62" s="441"/>
      <c r="AP62" s="7">
        <f>ROW()</f>
        <v>62</v>
      </c>
    </row>
    <row r="63" spans="2:42" ht="14" customHeight="1">
      <c r="K63" s="12">
        <f t="shared" ref="K63:AM63" si="12">K$13</f>
        <v>2007</v>
      </c>
      <c r="L63" s="12">
        <f t="shared" si="12"/>
        <v>2008</v>
      </c>
      <c r="M63" s="12">
        <f t="shared" si="12"/>
        <v>2009</v>
      </c>
      <c r="N63" s="12">
        <f t="shared" si="12"/>
        <v>2010</v>
      </c>
      <c r="O63" s="12">
        <f t="shared" si="12"/>
        <v>2011</v>
      </c>
      <c r="P63" s="434">
        <f t="shared" si="12"/>
        <v>2012</v>
      </c>
      <c r="Q63" s="12">
        <f t="shared" si="12"/>
        <v>2015</v>
      </c>
      <c r="R63" s="12">
        <f t="shared" si="12"/>
        <v>2016</v>
      </c>
      <c r="S63" s="12">
        <f t="shared" si="12"/>
        <v>2017</v>
      </c>
      <c r="T63" s="12">
        <f t="shared" si="12"/>
        <v>2018</v>
      </c>
      <c r="U63" s="12">
        <f t="shared" si="12"/>
        <v>2019</v>
      </c>
      <c r="V63" s="12">
        <f t="shared" si="12"/>
        <v>2020</v>
      </c>
      <c r="W63" s="12">
        <f t="shared" si="12"/>
        <v>2021</v>
      </c>
      <c r="X63" s="12">
        <f t="shared" si="12"/>
        <v>2022</v>
      </c>
      <c r="Y63" s="12">
        <f t="shared" si="12"/>
        <v>2023</v>
      </c>
      <c r="Z63" s="12">
        <f t="shared" si="12"/>
        <v>2024</v>
      </c>
      <c r="AA63" s="12">
        <f t="shared" si="12"/>
        <v>2025</v>
      </c>
      <c r="AB63" s="12">
        <f t="shared" si="12"/>
        <v>2026</v>
      </c>
      <c r="AC63" s="12">
        <f t="shared" si="12"/>
        <v>2027</v>
      </c>
      <c r="AD63" s="12">
        <f t="shared" si="12"/>
        <v>2028</v>
      </c>
      <c r="AE63" s="12">
        <f t="shared" si="12"/>
        <v>2029</v>
      </c>
      <c r="AF63" s="12">
        <f t="shared" si="12"/>
        <v>2030</v>
      </c>
      <c r="AG63" s="12">
        <f t="shared" si="12"/>
        <v>2031</v>
      </c>
      <c r="AH63" s="12">
        <f t="shared" si="12"/>
        <v>2032</v>
      </c>
      <c r="AI63" s="12">
        <f t="shared" si="12"/>
        <v>2033</v>
      </c>
      <c r="AJ63" s="12">
        <f t="shared" si="12"/>
        <v>2034</v>
      </c>
      <c r="AK63" s="12">
        <f t="shared" si="12"/>
        <v>2035</v>
      </c>
      <c r="AL63" s="12">
        <f t="shared" si="12"/>
        <v>2036</v>
      </c>
      <c r="AM63" s="12">
        <f t="shared" si="12"/>
        <v>2037</v>
      </c>
      <c r="AP63" s="7">
        <f>ROW()</f>
        <v>63</v>
      </c>
    </row>
    <row r="64" spans="2:42" ht="14" customHeight="1">
      <c r="B64" s="71" t="s">
        <v>111</v>
      </c>
      <c r="C64" s="71"/>
      <c r="D64" s="71"/>
      <c r="E64" s="71"/>
      <c r="F64" s="71"/>
      <c r="G64" s="71"/>
      <c r="H64" s="71"/>
      <c r="I64" s="116">
        <f t="shared" ref="I64:P64" si="13">I32</f>
        <v>585.94232361910008</v>
      </c>
      <c r="J64" s="116">
        <f t="shared" si="13"/>
        <v>542.5909109157684</v>
      </c>
      <c r="K64" s="116">
        <f t="shared" si="13"/>
        <v>575.20119129305317</v>
      </c>
      <c r="L64" s="116">
        <f t="shared" si="13"/>
        <v>567.99940893351527</v>
      </c>
      <c r="M64" s="116">
        <f t="shared" si="13"/>
        <v>507.45126774049845</v>
      </c>
      <c r="N64" s="116">
        <f t="shared" si="13"/>
        <v>535.31747986489199</v>
      </c>
      <c r="O64" s="116">
        <f t="shared" si="13"/>
        <v>519.20242147149497</v>
      </c>
      <c r="P64" s="285">
        <f t="shared" si="13"/>
        <v>526.28713676369762</v>
      </c>
      <c r="Q64" s="116">
        <f>Q59*Parameters!$H$31/1000</f>
        <v>574.79310483728295</v>
      </c>
      <c r="R64" s="116">
        <f>R59*Parameters!$H$31/1000</f>
        <v>583.34730867403255</v>
      </c>
      <c r="S64" s="116">
        <f>S59*Parameters!$H$31/1000</f>
        <v>592.00752989158036</v>
      </c>
      <c r="T64" s="116">
        <f>T59*Parameters!$H$31/1000</f>
        <v>600.77474058671385</v>
      </c>
      <c r="U64" s="116">
        <f>U59*Parameters!$H$31/1000</f>
        <v>609.64991989093323</v>
      </c>
      <c r="V64" s="116">
        <f>V59*Parameters!$H$31/1000</f>
        <v>618.63405412740042</v>
      </c>
      <c r="W64" s="116">
        <f>W59*Parameters!$H$31/1000</f>
        <v>627.7281369719326</v>
      </c>
      <c r="X64" s="116">
        <f>X59*Parameters!$H$31/1000</f>
        <v>636.93316961798985</v>
      </c>
      <c r="Y64" s="116">
        <f>Y59*Parameters!$H$31/1000</f>
        <v>646.25016094560488</v>
      </c>
      <c r="Z64" s="116">
        <f>Z59*Parameters!$H$31/1000</f>
        <v>655.68012769420454</v>
      </c>
      <c r="AA64" s="116">
        <f>AA59*Parameters!$H$31/1000</f>
        <v>665.22409463926135</v>
      </c>
      <c r="AB64" s="116">
        <f>AB59*Parameters!$H$31/1000</f>
        <v>672.17801574496355</v>
      </c>
      <c r="AC64" s="116">
        <f>AC59*Parameters!$H$31/1000</f>
        <v>679.14833161282331</v>
      </c>
      <c r="AD64" s="116">
        <f>AD59*Parameters!$H$31/1000</f>
        <v>686.13428788978683</v>
      </c>
      <c r="AE64" s="116">
        <f>AE59*Parameters!$H$31/1000</f>
        <v>693.13514362052911</v>
      </c>
      <c r="AF64" s="116">
        <f>AF59*Parameters!$H$31/1000</f>
        <v>700.15017204918706</v>
      </c>
      <c r="AG64" s="116">
        <f>AG59*Parameters!$H$31/1000</f>
        <v>707.17866138692341</v>
      </c>
      <c r="AH64" s="116">
        <f>AH59*Parameters!$H$31/1000</f>
        <v>714.21991554395584</v>
      </c>
      <c r="AI64" s="116">
        <f>AI59*Parameters!$H$31/1000</f>
        <v>721.27325482482843</v>
      </c>
      <c r="AJ64" s="116">
        <f>AJ59*Parameters!$H$31/1000</f>
        <v>728.33801658584207</v>
      </c>
      <c r="AK64" s="116">
        <f>AK59*Parameters!$H$31/1000</f>
        <v>735.41355585371116</v>
      </c>
      <c r="AL64" s="116">
        <f>AL59*Parameters!$H$31/1000</f>
        <v>739.0545275604926</v>
      </c>
      <c r="AM64" s="116">
        <f>AM59*Parameters!$H$31/1000</f>
        <v>742.55701428797317</v>
      </c>
      <c r="AP64" s="7">
        <f>ROW()</f>
        <v>64</v>
      </c>
    </row>
    <row r="65" spans="2:42" ht="14" customHeight="1">
      <c r="B65" s="904" t="str">
        <f>CONCATENATE("Values through 2012 are from Row ",AP32, ", except 2006 is calc'd as mean of 2005 and 2007, in lieu of actual data. Future values are product of projected fuel usage in Row ",AP59, " and CO2 emission factor per million Btu of natural gas in Cell H",Parameters!O31, " of 'Parameters' tab.")</f>
        <v>Values through 2012 are from Row 32, except 2006 is calc'd as mean of 2005 and 2007, in lieu of actual data. Future values are product of projected fuel usage in Row 59 and CO2 emission factor per million Btu of natural gas in Cell H31 of 'Parameters' tab.</v>
      </c>
      <c r="C65" s="787"/>
      <c r="D65" s="787"/>
      <c r="E65" s="787"/>
      <c r="F65" s="787"/>
      <c r="G65" s="787"/>
      <c r="H65" s="787"/>
      <c r="I65" s="787"/>
      <c r="J65" s="787"/>
      <c r="K65" s="787"/>
      <c r="L65" s="787"/>
      <c r="M65" s="787"/>
      <c r="N65" s="787"/>
      <c r="O65" s="443"/>
      <c r="P65" s="442"/>
      <c r="Q65" s="187"/>
      <c r="R65" s="187"/>
      <c r="S65" s="187"/>
      <c r="T65" s="187"/>
      <c r="U65" s="187"/>
      <c r="V65" s="187"/>
      <c r="W65" s="187"/>
      <c r="X65" s="187"/>
      <c r="Y65" s="187"/>
      <c r="Z65" s="187"/>
      <c r="AA65" s="187"/>
      <c r="AB65" s="187"/>
      <c r="AC65" s="187"/>
      <c r="AD65" s="187"/>
      <c r="AE65" s="187"/>
      <c r="AF65" s="187"/>
      <c r="AG65" s="187"/>
      <c r="AH65" s="187"/>
      <c r="AI65" s="187"/>
      <c r="AJ65" s="187"/>
      <c r="AK65" s="187"/>
      <c r="AL65" s="187"/>
      <c r="AM65" s="187"/>
      <c r="AP65" s="7">
        <f>ROW()</f>
        <v>65</v>
      </c>
    </row>
    <row r="66" spans="2:42" ht="14" customHeight="1">
      <c r="B66" s="787"/>
      <c r="C66" s="787"/>
      <c r="D66" s="787"/>
      <c r="E66" s="787"/>
      <c r="F66" s="787"/>
      <c r="G66" s="787"/>
      <c r="H66" s="787"/>
      <c r="I66" s="787"/>
      <c r="J66" s="787"/>
      <c r="K66" s="787"/>
      <c r="L66" s="787"/>
      <c r="M66" s="787"/>
      <c r="N66" s="787"/>
      <c r="O66" s="443"/>
      <c r="P66" s="442"/>
      <c r="Q66" s="187"/>
      <c r="R66" s="187"/>
      <c r="S66" s="187"/>
      <c r="T66" s="187"/>
      <c r="U66" s="187"/>
      <c r="V66" s="187"/>
      <c r="W66" s="187"/>
      <c r="X66" s="187"/>
      <c r="Y66" s="187"/>
      <c r="Z66" s="187"/>
      <c r="AA66" s="187"/>
      <c r="AB66" s="187"/>
      <c r="AC66" s="187"/>
      <c r="AD66" s="187"/>
      <c r="AE66" s="187"/>
      <c r="AF66" s="187"/>
      <c r="AG66" s="187"/>
      <c r="AH66" s="187"/>
      <c r="AI66" s="187"/>
      <c r="AJ66" s="187"/>
      <c r="AK66" s="187"/>
      <c r="AL66" s="187"/>
      <c r="AM66" s="187"/>
      <c r="AP66" s="7">
        <f>ROW()</f>
        <v>66</v>
      </c>
    </row>
    <row r="67" spans="2:42" ht="14" customHeight="1">
      <c r="B67" s="444" t="s">
        <v>672</v>
      </c>
      <c r="C67" s="71"/>
      <c r="D67" s="71"/>
      <c r="E67" s="71"/>
      <c r="F67" s="445">
        <v>10</v>
      </c>
      <c r="G67" s="446" t="s">
        <v>26</v>
      </c>
      <c r="H67" s="71"/>
      <c r="I67" s="130">
        <v>0.01</v>
      </c>
      <c r="J67" s="130"/>
      <c r="K67" s="71"/>
      <c r="L67" s="71"/>
      <c r="P67" s="27"/>
      <c r="AP67" s="7">
        <f>ROW()</f>
        <v>67</v>
      </c>
    </row>
    <row r="68" spans="2:42" ht="14" customHeight="1">
      <c r="B68" s="206" t="s">
        <v>90</v>
      </c>
      <c r="C68" s="71"/>
      <c r="D68" s="71"/>
      <c r="E68" s="71"/>
      <c r="F68" s="71"/>
      <c r="G68" s="71"/>
      <c r="H68" s="131"/>
      <c r="I68" s="131"/>
      <c r="J68" s="131"/>
      <c r="K68" s="71"/>
      <c r="L68" s="71"/>
      <c r="P68" s="27"/>
      <c r="AP68" s="7">
        <f>ROW()</f>
        <v>68</v>
      </c>
    </row>
    <row r="69" spans="2:42" ht="14" customHeight="1">
      <c r="B69" s="71" t="s">
        <v>122</v>
      </c>
      <c r="C69" s="71"/>
      <c r="D69" s="71"/>
      <c r="E69" s="71"/>
      <c r="F69" s="447"/>
      <c r="G69" s="448"/>
      <c r="H69" s="71"/>
      <c r="I69" s="71"/>
      <c r="J69" s="71"/>
      <c r="K69" s="125"/>
      <c r="L69" s="71"/>
      <c r="M69" s="125"/>
      <c r="N69" s="321"/>
      <c r="O69" s="321"/>
      <c r="P69" s="437" t="str">
        <f>CONCATENATE("Calculated as tax level in Row ",AP17, " with appropriate adjustment from gallons to MMBtu.")</f>
        <v>Calculated as tax level in Row 17 with appropriate adjustment from gallons to MMBtu.</v>
      </c>
      <c r="Q69" s="73">
        <f>(Q17/1000)*Parameters!$H$31</f>
        <v>4.4514544004591281</v>
      </c>
      <c r="R69" s="73">
        <f>(R17/1000)*Parameters!$H$31</f>
        <v>4.5242041154620578</v>
      </c>
      <c r="S69" s="73">
        <f>(S17/1000)*Parameters!$H$31</f>
        <v>4.5981427724504345</v>
      </c>
      <c r="T69" s="73">
        <f>(T17/1000)*Parameters!$H$31</f>
        <v>4.673289802195149</v>
      </c>
      <c r="U69" s="73">
        <f>(U17/1000)*Parameters!$H$31</f>
        <v>4.7496649530224229</v>
      </c>
      <c r="V69" s="73">
        <f>(V17/1000)*Parameters!$H$31</f>
        <v>4.8272882960035703</v>
      </c>
      <c r="W69" s="73">
        <f>(W17/1000)*Parameters!$H$31</f>
        <v>4.9061802302296096</v>
      </c>
      <c r="X69" s="73">
        <f>(X17/1000)*Parameters!$H$31</f>
        <v>4.9863614881720473</v>
      </c>
      <c r="Y69" s="73">
        <f>(Y17/1000)*Parameters!$H$31</f>
        <v>5.0678531411312866</v>
      </c>
      <c r="Z69" s="73">
        <f>(Z17/1000)*Parameters!$H$31</f>
        <v>5.1506766047740857</v>
      </c>
      <c r="AA69" s="73">
        <f>(AA17/1000)*Parameters!$H$31</f>
        <v>5.2348536447614915</v>
      </c>
      <c r="AB69" s="73">
        <f>(AB17/1000)*Parameters!$H$31</f>
        <v>5.3204063824687822</v>
      </c>
      <c r="AC69" s="73">
        <f>(AC17/1000)*Parameters!$H$31</f>
        <v>5.4073573007988571</v>
      </c>
      <c r="AD69" s="73">
        <f>(AD17/1000)*Parameters!$H$31</f>
        <v>5.4957292500906547</v>
      </c>
      <c r="AE69" s="73">
        <f>(AE17/1000)*Parameters!$H$31</f>
        <v>5.5855454541241301</v>
      </c>
      <c r="AF69" s="73">
        <f>(AF17/1000)*Parameters!$H$31</f>
        <v>5.6768295162233695</v>
      </c>
      <c r="AG69" s="73">
        <f>(AG17/1000)*Parameters!$H$31</f>
        <v>5.7696054254594307</v>
      </c>
      <c r="AH69" s="73">
        <f>(AH17/1000)*Parameters!$H$31</f>
        <v>5.8638975629545902</v>
      </c>
      <c r="AI69" s="73">
        <f>(AI17/1000)*Parameters!$H$31</f>
        <v>5.9597307082895901</v>
      </c>
      <c r="AJ69" s="73">
        <f>(AJ17/1000)*Parameters!$H$31</f>
        <v>6.0571300460156046</v>
      </c>
      <c r="AK69" s="73">
        <f>(AK17/1000)*Parameters!$H$31</f>
        <v>6.1561211722726457</v>
      </c>
      <c r="AL69" s="73">
        <f>(AL17/1000)*Parameters!$H$31</f>
        <v>6.2567301015161165</v>
      </c>
      <c r="AM69" s="73">
        <f>(AM17/1000)*Parameters!$H$31</f>
        <v>6.3589832733533047</v>
      </c>
      <c r="AP69" s="7">
        <f>ROW()</f>
        <v>69</v>
      </c>
    </row>
    <row r="70" spans="2:42" ht="14" customHeight="1">
      <c r="B70" s="449" t="s">
        <v>305</v>
      </c>
      <c r="C70" s="71"/>
      <c r="D70" s="71"/>
      <c r="E70" s="71"/>
      <c r="F70" s="71"/>
      <c r="G70" s="71"/>
      <c r="H70" s="71"/>
      <c r="I70" s="71"/>
      <c r="J70" s="71"/>
      <c r="K70" s="71"/>
      <c r="L70" s="76"/>
      <c r="M70" s="76"/>
      <c r="P70" s="437" t="str">
        <f>CONCATENATE("Sum of Rows ",AP69, " and ",AP53, ".")</f>
        <v>Sum of Rows 69 and 53.</v>
      </c>
      <c r="Q70" s="197">
        <f t="shared" ref="Q70:AM70" si="14">Q53+Q69</f>
        <v>12.783661808484716</v>
      </c>
      <c r="R70" s="197">
        <f t="shared" si="14"/>
        <v>13.079103739075766</v>
      </c>
      <c r="S70" s="197">
        <f t="shared" si="14"/>
        <v>13.382318148493042</v>
      </c>
      <c r="T70" s="197">
        <f t="shared" si="14"/>
        <v>13.693533561270986</v>
      </c>
      <c r="U70" s="197">
        <f t="shared" si="14"/>
        <v>14.01298575965534</v>
      </c>
      <c r="V70" s="197">
        <f t="shared" si="14"/>
        <v>14.340918024914213</v>
      </c>
      <c r="W70" s="197">
        <f t="shared" si="14"/>
        <v>14.677581386873708</v>
      </c>
      <c r="X70" s="197">
        <f t="shared" si="14"/>
        <v>15.023234881961951</v>
      </c>
      <c r="Y70" s="197">
        <f t="shared" si="14"/>
        <v>15.378145820055366</v>
      </c>
      <c r="Z70" s="197">
        <f t="shared" si="14"/>
        <v>15.742590060431089</v>
      </c>
      <c r="AA70" s="197">
        <f t="shared" si="14"/>
        <v>16.116852297140078</v>
      </c>
      <c r="AB70" s="197">
        <f t="shared" si="14"/>
        <v>16.559746820076644</v>
      </c>
      <c r="AC70" s="197">
        <f t="shared" si="14"/>
        <v>17.017698512202607</v>
      </c>
      <c r="AD70" s="197">
        <f t="shared" si="14"/>
        <v>17.491297855326398</v>
      </c>
      <c r="AE70" s="197">
        <f t="shared" si="14"/>
        <v>17.981160219348329</v>
      </c>
      <c r="AF70" s="197">
        <f t="shared" si="14"/>
        <v>18.487926944391944</v>
      </c>
      <c r="AG70" s="197">
        <f t="shared" si="14"/>
        <v>19.012266470576638</v>
      </c>
      <c r="AH70" s="197">
        <f t="shared" si="14"/>
        <v>19.554875517539266</v>
      </c>
      <c r="AI70" s="197">
        <f t="shared" si="14"/>
        <v>20.116480315905747</v>
      </c>
      <c r="AJ70" s="197">
        <f t="shared" si="14"/>
        <v>20.697837893011304</v>
      </c>
      <c r="AK70" s="197">
        <f t="shared" si="14"/>
        <v>21.299737415269806</v>
      </c>
      <c r="AL70" s="197">
        <f t="shared" si="14"/>
        <v>22.092463111497377</v>
      </c>
      <c r="AM70" s="197">
        <f t="shared" si="14"/>
        <v>22.925446558083188</v>
      </c>
      <c r="AP70" s="7">
        <f>ROW()</f>
        <v>70</v>
      </c>
    </row>
    <row r="71" spans="2:42" ht="14" customHeight="1">
      <c r="B71" s="449" t="s">
        <v>673</v>
      </c>
      <c r="C71" s="71"/>
      <c r="D71" s="71"/>
      <c r="E71" s="71"/>
      <c r="F71" s="71"/>
      <c r="G71" s="71"/>
      <c r="H71" s="71"/>
      <c r="I71" s="71"/>
      <c r="J71" s="71"/>
      <c r="K71" s="222"/>
      <c r="L71" s="71"/>
      <c r="P71" s="437" t="str">
        <f>CONCATENATE("Calculated as excess of Row ",AP70, " over Row ",AP53, ".")</f>
        <v>Calculated as excess of Row 70 over Row 53.</v>
      </c>
      <c r="Q71" s="432">
        <f t="shared" ref="Q71:AM71" si="15">Q70/Q53-1</f>
        <v>0.53424671068215202</v>
      </c>
      <c r="R71" s="432">
        <f t="shared" si="15"/>
        <v>0.52884362348029201</v>
      </c>
      <c r="S71" s="432">
        <f t="shared" si="15"/>
        <v>0.52345753307602561</v>
      </c>
      <c r="T71" s="432">
        <f t="shared" si="15"/>
        <v>0.51808908129484399</v>
      </c>
      <c r="U71" s="432">
        <f t="shared" si="15"/>
        <v>0.51273890348496498</v>
      </c>
      <c r="V71" s="432">
        <f t="shared" si="15"/>
        <v>0.50740762816678564</v>
      </c>
      <c r="W71" s="432">
        <f t="shared" si="15"/>
        <v>0.50209587668945854</v>
      </c>
      <c r="X71" s="432">
        <f t="shared" si="15"/>
        <v>0.49680426289498181</v>
      </c>
      <c r="Y71" s="432">
        <f t="shared" si="15"/>
        <v>0.49153339279017794</v>
      </c>
      <c r="Z71" s="432">
        <f t="shared" si="15"/>
        <v>0.48628386422692826</v>
      </c>
      <c r="AA71" s="432">
        <f t="shared" si="15"/>
        <v>0.4810562665909961</v>
      </c>
      <c r="AB71" s="432">
        <f t="shared" si="15"/>
        <v>0.47337354109020624</v>
      </c>
      <c r="AC71" s="432">
        <f t="shared" si="15"/>
        <v>0.46573629511316295</v>
      </c>
      <c r="AD71" s="432">
        <f t="shared" si="15"/>
        <v>0.45814662321983768</v>
      </c>
      <c r="AE71" s="432">
        <f t="shared" si="15"/>
        <v>0.45060657013917016</v>
      </c>
      <c r="AF71" s="432">
        <f t="shared" si="15"/>
        <v>0.4431181284861172</v>
      </c>
      <c r="AG71" s="432">
        <f t="shared" si="15"/>
        <v>0.43568323660951669</v>
      </c>
      <c r="AH71" s="432">
        <f t="shared" si="15"/>
        <v>0.42830377657506591</v>
      </c>
      <c r="AI71" s="432">
        <f t="shared" si="15"/>
        <v>0.42098157228713906</v>
      </c>
      <c r="AJ71" s="432">
        <f t="shared" si="15"/>
        <v>0.41371838775257985</v>
      </c>
      <c r="AK71" s="432">
        <f t="shared" si="15"/>
        <v>0.40651592548902649</v>
      </c>
      <c r="AL71" s="432">
        <f t="shared" si="15"/>
        <v>0.3951020200689479</v>
      </c>
      <c r="AM71" s="432">
        <f t="shared" si="15"/>
        <v>0.38384676101716253</v>
      </c>
      <c r="AP71" s="7">
        <f>ROW()</f>
        <v>71</v>
      </c>
    </row>
    <row r="72" spans="2:42" ht="14" customHeight="1">
      <c r="B72" s="449" t="s">
        <v>588</v>
      </c>
      <c r="C72" s="71"/>
      <c r="D72" s="71"/>
      <c r="E72" s="71"/>
      <c r="F72" s="71"/>
      <c r="G72" s="71"/>
      <c r="H72" s="71"/>
      <c r="I72" s="71"/>
      <c r="J72" s="71"/>
      <c r="K72" s="71"/>
      <c r="L72" s="71"/>
      <c r="P72" s="27"/>
      <c r="Q72" s="197">
        <f>Q70/AEO!$N$18^(Q13-$P13)</f>
        <v>12.13509405551337</v>
      </c>
      <c r="R72" s="197">
        <f>R70/AEO!$N$18^(R13-$P13)</f>
        <v>12.201928701865794</v>
      </c>
      <c r="S72" s="197">
        <f>S70/AEO!$N$18^(S13-$P13)</f>
        <v>12.269997483573109</v>
      </c>
      <c r="T72" s="197">
        <f>T70/AEO!$N$18^(T13-$P13)</f>
        <v>12.339321456089953</v>
      </c>
      <c r="U72" s="197">
        <f>U70/AEO!$N$18^(U13-$P13)</f>
        <v>12.40992203593691</v>
      </c>
      <c r="V72" s="197">
        <f>V70/AEO!$N$18^(V13-$P13)</f>
        <v>12.481821006890083</v>
      </c>
      <c r="W72" s="197">
        <f>W70/AEO!$N$18^(W13-$P13)</f>
        <v>12.555040526276768</v>
      </c>
      <c r="X72" s="197">
        <f>X70/AEO!$N$18^(X13-$P13)</f>
        <v>12.62960313137903</v>
      </c>
      <c r="Y72" s="197">
        <f>Y70/AEO!$N$18^(Y13-$P13)</f>
        <v>12.705531745947095</v>
      </c>
      <c r="Z72" s="197">
        <f>Z70/AEO!$N$18^(Z13-$P13)</f>
        <v>12.782849686824367</v>
      </c>
      <c r="AA72" s="197">
        <f>AA70/AEO!$N$18^(AA13-$P13)</f>
        <v>12.861580670686036</v>
      </c>
      <c r="AB72" s="197">
        <f>AB70/AEO!$N$18^(AB13-$P13)</f>
        <v>12.987645844239024</v>
      </c>
      <c r="AC72" s="197">
        <f>AC70/AEO!$N$18^(AC13-$P13)</f>
        <v>13.117171443043871</v>
      </c>
      <c r="AD72" s="197">
        <f>AD70/AEO!$N$18^(AD13-$P13)</f>
        <v>13.250248689444124</v>
      </c>
      <c r="AE72" s="197">
        <f>AE70/AEO!$N$18^(AE13-$P13)</f>
        <v>13.386971214692972</v>
      </c>
      <c r="AF72" s="197">
        <f>AF70/AEO!$N$18^(AF13-$P13)</f>
        <v>13.527435122560638</v>
      </c>
      <c r="AG72" s="197">
        <f>AG70/AEO!$N$18^(AG13-$P13)</f>
        <v>13.671739054621268</v>
      </c>
      <c r="AH72" s="197">
        <f>AH70/AEO!$N$18^(AH13-$P13)</f>
        <v>13.819984257263783</v>
      </c>
      <c r="AI72" s="197">
        <f>AI70/AEO!$N$18^(AI13-$P13)</f>
        <v>13.972274650472137</v>
      </c>
      <c r="AJ72" s="197">
        <f>AJ70/AEO!$N$18^(AJ13-$P13)</f>
        <v>14.128716898421731</v>
      </c>
      <c r="AK72" s="197">
        <f>AK70/AEO!$N$18^(AK13-$P13)</f>
        <v>14.289420481939924</v>
      </c>
      <c r="AL72" s="197">
        <f>AL70/AEO!$N$18^(AL13-$P13)</f>
        <v>14.566228877737895</v>
      </c>
      <c r="AM72" s="197">
        <f>AM70/AEO!$N$18^(AM13-$P13)</f>
        <v>14.855368172488177</v>
      </c>
      <c r="AP72" s="7">
        <f>ROW()</f>
        <v>72</v>
      </c>
    </row>
    <row r="73" spans="2:42" ht="14" customHeight="1">
      <c r="B73" s="449" t="s">
        <v>707</v>
      </c>
      <c r="C73" s="71"/>
      <c r="D73" s="71"/>
      <c r="E73" s="71"/>
      <c r="F73" s="71"/>
      <c r="G73" s="71"/>
      <c r="H73" s="71"/>
      <c r="I73" s="450"/>
      <c r="J73" s="450"/>
      <c r="K73" s="901">
        <f>Parameters!H31</f>
        <v>51.244080398599358</v>
      </c>
      <c r="L73" s="902"/>
      <c r="M73" s="902"/>
      <c r="N73" s="902"/>
      <c r="O73" s="902"/>
      <c r="P73" s="903"/>
      <c r="Q73" s="7">
        <f>$K$73*(1-$I$67)^(Summary!Q98/$F$67)</f>
        <v>48.69342572653791</v>
      </c>
      <c r="R73" s="7">
        <f>$K$73*(1-$I$67)^(Summary!R98/$F$67)</f>
        <v>48.696269883088547</v>
      </c>
      <c r="S73" s="7">
        <f>$K$73*(1-$I$67)^(Summary!S98/$F$67)</f>
        <v>48.699110951787375</v>
      </c>
      <c r="T73" s="7">
        <f>$K$73*(1-$I$67)^(Summary!T98/$F$67)</f>
        <v>48.701948935797304</v>
      </c>
      <c r="U73" s="7">
        <f>$K$73*(1-$I$67)^(Summary!U98/$F$67)</f>
        <v>48.704783838278431</v>
      </c>
      <c r="V73" s="7">
        <f>$K$73*(1-$I$67)^(Summary!V98/$F$67)</f>
        <v>48.707615662388058</v>
      </c>
      <c r="W73" s="7">
        <f>$K$73*(1-$I$67)^(Summary!W98/$F$67)</f>
        <v>48.710444411280676</v>
      </c>
      <c r="X73" s="7">
        <f>$K$73*(1-$I$67)^(Summary!X98/$F$67)</f>
        <v>48.71327008810799</v>
      </c>
      <c r="Y73" s="7">
        <f>$K$73*(1-$I$67)^(Summary!Y98/$F$67)</f>
        <v>48.716092696018876</v>
      </c>
      <c r="Z73" s="7">
        <f>$K$73*(1-$I$67)^(Summary!Z98/$F$67)</f>
        <v>48.718912238159433</v>
      </c>
      <c r="AA73" s="7">
        <f>$K$73*(1-$I$67)^(Summary!AA98/$F$67)</f>
        <v>48.72172871767296</v>
      </c>
      <c r="AB73" s="7">
        <f>$K$73*(1-$I$67)^(Summary!AB98/$F$67)</f>
        <v>48.72454213769997</v>
      </c>
      <c r="AC73" s="7">
        <f>$K$73*(1-$I$67)^(Summary!AC98/$F$67)</f>
        <v>48.727352501378164</v>
      </c>
      <c r="AD73" s="7">
        <f>$K$73*(1-$I$67)^(Summary!AD98/$F$67)</f>
        <v>48.730159811842455</v>
      </c>
      <c r="AE73" s="7">
        <f>$K$73*(1-$I$67)^(Summary!AE98/$F$67)</f>
        <v>48.732964072224959</v>
      </c>
      <c r="AF73" s="7">
        <f>$K$73*(1-$I$67)^(Summary!AF98/$F$67)</f>
        <v>48.735765285655035</v>
      </c>
      <c r="AG73" s="7">
        <f>$K$73*(1-$I$67)^(Summary!AG98/$F$67)</f>
        <v>48.738563455259211</v>
      </c>
      <c r="AH73" s="7">
        <f>$K$73*(1-$I$67)^(Summary!AH98/$F$67)</f>
        <v>48.741358584161247</v>
      </c>
      <c r="AI73" s="7">
        <f>$K$73*(1-$I$67)^(Summary!AI98/$F$67)</f>
        <v>48.744150675482125</v>
      </c>
      <c r="AJ73" s="7">
        <f>$K$73*(1-$I$67)^(Summary!AJ98/$F$67)</f>
        <v>48.746939732340039</v>
      </c>
      <c r="AK73" s="7">
        <f>$K$73*(1-$I$67)^(Summary!AK98/$F$67)</f>
        <v>48.749725757850392</v>
      </c>
      <c r="AL73" s="7">
        <f>$K$73*(1-$I$67)^(Summary!AL98/$F$67)</f>
        <v>48.752508755125817</v>
      </c>
      <c r="AM73" s="7">
        <f>$K$73*(1-$I$67)^(Summary!AM98/$F$67)</f>
        <v>48.755288727276159</v>
      </c>
      <c r="AP73" s="7">
        <f>ROW()</f>
        <v>73</v>
      </c>
    </row>
    <row r="74" spans="2:42" ht="14" customHeight="1">
      <c r="B74" s="91" t="str">
        <f>CONCATENATE("Historical figure is copied from Cell H",Parameters!O31, " in 'Parameters' tab. Figures after 2012 reduce that baseline value by percentage calculated from Cell I",AP67, " normalized by Cell F",AP67, ".")</f>
        <v>Historical figure is copied from Cell H31 in 'Parameters' tab. Figures after 2012 reduce that baseline value by percentage calculated from Cell I67 normalized by Cell F67.</v>
      </c>
      <c r="C74" s="8"/>
      <c r="D74" s="8"/>
      <c r="E74" s="8"/>
      <c r="F74" s="8"/>
      <c r="G74" s="8"/>
      <c r="K74" s="31"/>
      <c r="L74" s="31"/>
      <c r="P74" s="451"/>
      <c r="AP74" s="7">
        <f>ROW()</f>
        <v>74</v>
      </c>
    </row>
    <row r="75" spans="2:42" ht="14" customHeight="1">
      <c r="B75" s="91"/>
      <c r="C75" s="8"/>
      <c r="D75" s="8"/>
      <c r="E75" s="8"/>
      <c r="F75" s="8"/>
      <c r="G75" s="8"/>
      <c r="K75" s="31"/>
      <c r="L75" s="31"/>
      <c r="P75" s="27"/>
      <c r="AP75" s="7"/>
    </row>
    <row r="76" spans="2:42" s="8" customFormat="1" ht="14" customHeight="1">
      <c r="I76" s="24"/>
      <c r="J76" s="24"/>
      <c r="K76" s="13">
        <f t="shared" ref="K76:Q76" si="16">K13</f>
        <v>2007</v>
      </c>
      <c r="L76" s="13">
        <f t="shared" si="16"/>
        <v>2008</v>
      </c>
      <c r="M76" s="13">
        <f t="shared" si="16"/>
        <v>2009</v>
      </c>
      <c r="N76" s="13">
        <f t="shared" si="16"/>
        <v>2010</v>
      </c>
      <c r="O76" s="13">
        <f t="shared" si="16"/>
        <v>2011</v>
      </c>
      <c r="P76" s="283">
        <f t="shared" si="16"/>
        <v>2012</v>
      </c>
      <c r="Q76" s="13">
        <f t="shared" si="16"/>
        <v>2015</v>
      </c>
      <c r="R76" s="13">
        <f t="shared" ref="R76:AM76" si="17">R13</f>
        <v>2016</v>
      </c>
      <c r="S76" s="13">
        <f t="shared" si="17"/>
        <v>2017</v>
      </c>
      <c r="T76" s="13">
        <f t="shared" si="17"/>
        <v>2018</v>
      </c>
      <c r="U76" s="13">
        <f t="shared" si="17"/>
        <v>2019</v>
      </c>
      <c r="V76" s="13">
        <f t="shared" si="17"/>
        <v>2020</v>
      </c>
      <c r="W76" s="13">
        <f t="shared" si="17"/>
        <v>2021</v>
      </c>
      <c r="X76" s="13">
        <f t="shared" si="17"/>
        <v>2022</v>
      </c>
      <c r="Y76" s="13">
        <f t="shared" si="17"/>
        <v>2023</v>
      </c>
      <c r="Z76" s="13">
        <f t="shared" si="17"/>
        <v>2024</v>
      </c>
      <c r="AA76" s="13">
        <f t="shared" si="17"/>
        <v>2025</v>
      </c>
      <c r="AB76" s="13">
        <f t="shared" si="17"/>
        <v>2026</v>
      </c>
      <c r="AC76" s="13">
        <f t="shared" si="17"/>
        <v>2027</v>
      </c>
      <c r="AD76" s="13">
        <f t="shared" si="17"/>
        <v>2028</v>
      </c>
      <c r="AE76" s="13">
        <f t="shared" si="17"/>
        <v>2029</v>
      </c>
      <c r="AF76" s="13">
        <f t="shared" si="17"/>
        <v>2030</v>
      </c>
      <c r="AG76" s="13">
        <f t="shared" si="17"/>
        <v>2031</v>
      </c>
      <c r="AH76" s="13">
        <f t="shared" si="17"/>
        <v>2032</v>
      </c>
      <c r="AI76" s="13">
        <f t="shared" si="17"/>
        <v>2033</v>
      </c>
      <c r="AJ76" s="13">
        <f t="shared" si="17"/>
        <v>2034</v>
      </c>
      <c r="AK76" s="13">
        <f t="shared" si="17"/>
        <v>2035</v>
      </c>
      <c r="AL76" s="13">
        <f t="shared" si="17"/>
        <v>2036</v>
      </c>
      <c r="AM76" s="13">
        <f t="shared" si="17"/>
        <v>2037</v>
      </c>
      <c r="AP76" s="7">
        <f>ROW()</f>
        <v>76</v>
      </c>
    </row>
    <row r="77" spans="2:42" s="8" customFormat="1" ht="14" customHeight="1">
      <c r="B77" s="8" t="s">
        <v>756</v>
      </c>
      <c r="I77" s="24"/>
      <c r="J77" s="904" t="str">
        <f>CONCATENATE("Calculated as one plus % increase in avg price of fuel in 'Other' sector in Row ",AP72,", raised to negative) price-elasticity given in Cell F",Parameters!O60, " of the 'Parameters' tab; less one.")</f>
        <v>Calculated as one plus % increase in avg price of fuel in 'Other' sector in Row 72, raised to negative) price-elasticity given in Cell F of the 'Parameters' tab; less one.</v>
      </c>
      <c r="K77" s="787"/>
      <c r="L77" s="787"/>
      <c r="M77" s="787"/>
      <c r="N77" s="787"/>
      <c r="O77" s="787"/>
      <c r="P77" s="787"/>
      <c r="Q77" s="348">
        <f>(1+Q71)^Parameters!$G$10-1</f>
        <v>-0.19266756736144386</v>
      </c>
      <c r="R77" s="349">
        <f>(1+R71)^Parameters!$G$10-1</f>
        <v>-0.19124222854697503</v>
      </c>
      <c r="S77" s="349">
        <f>(1+S71)^Parameters!$G$10-1</f>
        <v>-0.18981383325580437</v>
      </c>
      <c r="T77" s="349">
        <f>(1+T71)^Parameters!$G$10-1</f>
        <v>-0.18838255792824721</v>
      </c>
      <c r="U77" s="349">
        <f>(1+U71)^Parameters!$G$10-1</f>
        <v>-0.18694858112332102</v>
      </c>
      <c r="V77" s="349">
        <f>(1+V71)^Parameters!$G$10-1</f>
        <v>-0.18551208343075642</v>
      </c>
      <c r="W77" s="349">
        <f>(1+W71)^Parameters!$G$10-1</f>
        <v>-0.18407324738048436</v>
      </c>
      <c r="X77" s="349">
        <f>(1+X71)^Parameters!$G$10-1</f>
        <v>-0.18263225734968858</v>
      </c>
      <c r="Y77" s="349">
        <f>(1+Y71)^Parameters!$G$10-1</f>
        <v>-0.18118929946750906</v>
      </c>
      <c r="Z77" s="349">
        <f>(1+Z71)^Parameters!$G$10-1</f>
        <v>-0.17974456151749751</v>
      </c>
      <c r="AA77" s="349">
        <f>(1+AA71)^Parameters!$G$10-1</f>
        <v>-0.17829823283791923</v>
      </c>
      <c r="AB77" s="349">
        <f>(1+AB71)^Parameters!$G$10-1</f>
        <v>-0.17615868680344327</v>
      </c>
      <c r="AC77" s="349">
        <f>(1+AC71)^Parameters!$G$10-1</f>
        <v>-0.17401515523104505</v>
      </c>
      <c r="AD77" s="349">
        <f>(1+AD71)^Parameters!$G$10-1</f>
        <v>-0.17186831432848437</v>
      </c>
      <c r="AE77" s="349">
        <f>(1+AE71)^Parameters!$G$10-1</f>
        <v>-0.16971884666819859</v>
      </c>
      <c r="AF77" s="349">
        <f>(1+AF71)^Parameters!$G$10-1</f>
        <v>-0.16756744030299109</v>
      </c>
      <c r="AG77" s="349">
        <f>(1+AG71)^Parameters!$G$10-1</f>
        <v>-0.16541478786447095</v>
      </c>
      <c r="AH77" s="349">
        <f>(1+AH71)^Parameters!$G$10-1</f>
        <v>-0.16326158564667548</v>
      </c>
      <c r="AI77" s="349">
        <f>(1+AI71)^Parameters!$G$10-1</f>
        <v>-0.16110853267737646</v>
      </c>
      <c r="AJ77" s="349">
        <f>(1+AJ71)^Parameters!$G$10-1</f>
        <v>-0.15895632977964791</v>
      </c>
      <c r="AK77" s="349">
        <f>(1+AK71)^Parameters!$G$10-1</f>
        <v>-0.15680567862631267</v>
      </c>
      <c r="AL77" s="349">
        <f>(1+AL71)^Parameters!$G$10-1</f>
        <v>-0.15336344449358141</v>
      </c>
      <c r="AM77" s="349">
        <f>(1+AM71)^Parameters!$G$10-1</f>
        <v>-0.14992743676396669</v>
      </c>
      <c r="AP77" s="7">
        <f>ROW()</f>
        <v>77</v>
      </c>
    </row>
    <row r="78" spans="2:42" s="8" customFormat="1" ht="14" customHeight="1">
      <c r="I78" s="24"/>
      <c r="J78" s="787"/>
      <c r="K78" s="787"/>
      <c r="L78" s="787"/>
      <c r="M78" s="787"/>
      <c r="N78" s="787"/>
      <c r="O78" s="787"/>
      <c r="P78" s="787"/>
      <c r="Q78" s="473"/>
      <c r="R78" s="430"/>
      <c r="S78" s="430"/>
      <c r="T78" s="430"/>
      <c r="U78" s="430"/>
      <c r="V78" s="430"/>
      <c r="W78" s="430"/>
      <c r="X78" s="430"/>
      <c r="Y78" s="430"/>
      <c r="Z78" s="430"/>
      <c r="AA78" s="430"/>
      <c r="AB78" s="430"/>
      <c r="AC78" s="430"/>
      <c r="AD78" s="430"/>
      <c r="AE78" s="430"/>
      <c r="AF78" s="430"/>
      <c r="AG78" s="430"/>
      <c r="AH78" s="430"/>
      <c r="AI78" s="430"/>
      <c r="AJ78" s="430"/>
      <c r="AK78" s="430"/>
      <c r="AL78" s="430"/>
      <c r="AM78" s="430"/>
      <c r="AP78" s="7">
        <f>ROW()</f>
        <v>78</v>
      </c>
    </row>
    <row r="79" spans="2:42" s="8" customFormat="1" ht="14" customHeight="1">
      <c r="B79" s="8" t="s">
        <v>757</v>
      </c>
      <c r="H79" s="24"/>
      <c r="I79" s="24"/>
      <c r="J79" s="91" t="str">
        <f>CONCATENATE("Product of Rows ",AP77, " and ",AP59, ".")</f>
        <v>Product of Rows 77 and 59.</v>
      </c>
      <c r="M79" s="113"/>
      <c r="N79"/>
      <c r="O79"/>
      <c r="P79" s="276"/>
      <c r="Q79" s="25">
        <f t="shared" ref="Q79:AM79" si="18">Q77*Q59</f>
        <v>-2161.1079442486707</v>
      </c>
      <c r="R79" s="25">
        <f t="shared" si="18"/>
        <v>-2177.0444207395981</v>
      </c>
      <c r="S79" s="25">
        <f t="shared" si="18"/>
        <v>-2192.8624280296863</v>
      </c>
      <c r="T79" s="25">
        <f t="shared" si="18"/>
        <v>-2208.5571931445515</v>
      </c>
      <c r="U79" s="25">
        <f t="shared" si="18"/>
        <v>-2224.1239694228466</v>
      </c>
      <c r="V79" s="25">
        <f t="shared" si="18"/>
        <v>-2239.5580400643935</v>
      </c>
      <c r="W79" s="25">
        <f t="shared" si="18"/>
        <v>-2254.8547216720735</v>
      </c>
      <c r="X79" s="25">
        <f t="shared" si="18"/>
        <v>-2270.0093677826062</v>
      </c>
      <c r="Y79" s="25">
        <f t="shared" si="18"/>
        <v>-2285.0173723812131</v>
      </c>
      <c r="Z79" s="25">
        <f t="shared" si="18"/>
        <v>-2299.8741733953116</v>
      </c>
      <c r="AA79" s="25">
        <f t="shared" si="18"/>
        <v>-2314.5752561622112</v>
      </c>
      <c r="AB79" s="25">
        <f t="shared" si="18"/>
        <v>-2310.7058538416754</v>
      </c>
      <c r="AC79" s="25">
        <f t="shared" si="18"/>
        <v>-2306.258624044719</v>
      </c>
      <c r="AD79" s="25">
        <f t="shared" si="18"/>
        <v>-2301.2364071190532</v>
      </c>
      <c r="AE79" s="25">
        <f t="shared" si="18"/>
        <v>-2295.6426624388746</v>
      </c>
      <c r="AF79" s="25">
        <f t="shared" si="18"/>
        <v>-2289.4814629396265</v>
      </c>
      <c r="AG79" s="25">
        <f t="shared" si="18"/>
        <v>-2282.7574881955688</v>
      </c>
      <c r="AH79" s="25">
        <f t="shared" si="18"/>
        <v>-2275.4760160615156</v>
      </c>
      <c r="AI79" s="25">
        <f t="shared" si="18"/>
        <v>-2267.642912905892</v>
      </c>
      <c r="AJ79" s="25">
        <f t="shared" si="18"/>
        <v>-2259.2646224682417</v>
      </c>
      <c r="AK79" s="25">
        <f t="shared" si="18"/>
        <v>-2250.3481533797376</v>
      </c>
      <c r="AL79" s="25">
        <f t="shared" si="18"/>
        <v>-2211.8447074006162</v>
      </c>
      <c r="AM79" s="25">
        <f t="shared" si="18"/>
        <v>-2172.537177705758</v>
      </c>
      <c r="AP79" s="7">
        <f>ROW()</f>
        <v>79</v>
      </c>
    </row>
    <row r="80" spans="2:42" s="8" customFormat="1" ht="14" customHeight="1">
      <c r="B80" s="8" t="s">
        <v>758</v>
      </c>
      <c r="J80" s="91" t="str">
        <f>CONCATENATE("Sum of Rows ",AP59, " (x 1000) and ",AP79, ".")</f>
        <v>Sum of Rows 59 (x 1000) and 79.</v>
      </c>
      <c r="M80" s="115"/>
      <c r="N80"/>
      <c r="O80"/>
      <c r="P80" s="276"/>
      <c r="Q80" s="25">
        <f t="shared" ref="Q80:AM80" si="19">Q59+Q79</f>
        <v>9055.6628586672014</v>
      </c>
      <c r="R80" s="25">
        <f t="shared" si="19"/>
        <v>9206.6569577707887</v>
      </c>
      <c r="S80" s="25">
        <f t="shared" si="19"/>
        <v>9359.8383968593771</v>
      </c>
      <c r="T80" s="25">
        <f t="shared" si="19"/>
        <v>9515.2309188406671</v>
      </c>
      <c r="U80" s="25">
        <f t="shared" si="19"/>
        <v>9672.8583775878469</v>
      </c>
      <c r="V80" s="25">
        <f t="shared" si="19"/>
        <v>9832.7447374542626</v>
      </c>
      <c r="W80" s="25">
        <f t="shared" si="19"/>
        <v>9994.91407287322</v>
      </c>
      <c r="X80" s="25">
        <f t="shared" si="19"/>
        <v>10159.39056804684</v>
      </c>
      <c r="Y80" s="25">
        <f t="shared" si="19"/>
        <v>10326.198516727974</v>
      </c>
      <c r="Z80" s="25">
        <f t="shared" si="19"/>
        <v>10495.362322099027</v>
      </c>
      <c r="AA80" s="25">
        <f t="shared" si="19"/>
        <v>10666.906496751511</v>
      </c>
      <c r="AB80" s="25">
        <f t="shared" si="19"/>
        <v>10806.477838722667</v>
      </c>
      <c r="AC80" s="25">
        <f t="shared" si="19"/>
        <v>10946.946942922317</v>
      </c>
      <c r="AD80" s="25">
        <f t="shared" si="19"/>
        <v>11088.296248218456</v>
      </c>
      <c r="AE80" s="25">
        <f t="shared" si="19"/>
        <v>11230.507835901893</v>
      </c>
      <c r="AF80" s="25">
        <f t="shared" si="19"/>
        <v>11373.56345079687</v>
      </c>
      <c r="AG80" s="25">
        <f t="shared" si="19"/>
        <v>11517.44452316207</v>
      </c>
      <c r="AH80" s="25">
        <f t="shared" si="19"/>
        <v>11662.132191334034</v>
      </c>
      <c r="AI80" s="25">
        <f t="shared" si="19"/>
        <v>11807.607325061943</v>
      </c>
      <c r="AJ80" s="25">
        <f t="shared" si="19"/>
        <v>11953.850549479495</v>
      </c>
      <c r="AK80" s="25">
        <f t="shared" si="19"/>
        <v>12100.842269657147</v>
      </c>
      <c r="AL80" s="25">
        <f t="shared" si="19"/>
        <v>12210.397272781216</v>
      </c>
      <c r="AM80" s="25">
        <f t="shared" si="19"/>
        <v>12318.053901537598</v>
      </c>
      <c r="AP80" s="7">
        <f>ROW()</f>
        <v>80</v>
      </c>
    </row>
    <row r="81" spans="1:42" s="87" customFormat="1" ht="14" customHeight="1">
      <c r="A81" s="8"/>
      <c r="B81" s="8" t="s">
        <v>112</v>
      </c>
      <c r="J81" s="91" t="str">
        <f>CONCATENATE("Product of Rows ",AP80, " and ",AP73, ", with appropriate conversion factor.")</f>
        <v>Product of Rows 80 and 73, with appropriate conversion factor.</v>
      </c>
      <c r="M81" s="169"/>
      <c r="N81"/>
      <c r="O81"/>
      <c r="P81" s="276"/>
      <c r="Q81" s="87">
        <f t="shared" ref="Q81:AM81" si="20">Q80*Q73/1000</f>
        <v>440.95124681307936</v>
      </c>
      <c r="R81" s="87">
        <f t="shared" si="20"/>
        <v>448.32985193662131</v>
      </c>
      <c r="S81" s="87">
        <f t="shared" si="20"/>
        <v>455.81580857945448</v>
      </c>
      <c r="T81" s="87">
        <f t="shared" si="20"/>
        <v>463.41029032169786</v>
      </c>
      <c r="U81" s="87">
        <f t="shared" si="20"/>
        <v>471.11447637869668</v>
      </c>
      <c r="V81" s="87">
        <f t="shared" si="20"/>
        <v>478.92955157829101</v>
      </c>
      <c r="W81" s="87">
        <f t="shared" si="20"/>
        <v>486.85670634221793</v>
      </c>
      <c r="X81" s="87">
        <f t="shared" si="20"/>
        <v>494.89713667184253</v>
      </c>
      <c r="Y81" s="87">
        <f t="shared" si="20"/>
        <v>503.05204413841261</v>
      </c>
      <c r="Z81" s="87">
        <f t="shared" si="20"/>
        <v>511.32263587802765</v>
      </c>
      <c r="AA81" s="87">
        <f t="shared" si="20"/>
        <v>519.71012459151041</v>
      </c>
      <c r="AB81" s="87">
        <f t="shared" si="20"/>
        <v>526.54068481296349</v>
      </c>
      <c r="AC81" s="87">
        <f t="shared" si="20"/>
        <v>533.41574250165979</v>
      </c>
      <c r="AD81" s="87">
        <f t="shared" si="20"/>
        <v>540.33444821673845</v>
      </c>
      <c r="AE81" s="87">
        <f t="shared" si="20"/>
        <v>547.29593487984778</v>
      </c>
      <c r="AF81" s="87">
        <f t="shared" si="20"/>
        <v>554.29931879954097</v>
      </c>
      <c r="AG81" s="87">
        <f t="shared" si="20"/>
        <v>561.34370073456228</v>
      </c>
      <c r="AH81" s="87">
        <f t="shared" si="20"/>
        <v>568.42816699370235</v>
      </c>
      <c r="AI81" s="87">
        <f t="shared" si="20"/>
        <v>575.55179056974578</v>
      </c>
      <c r="AJ81" s="87">
        <f t="shared" si="20"/>
        <v>582.7136323048768</v>
      </c>
      <c r="AK81" s="87">
        <f t="shared" si="20"/>
        <v>589.91274208478978</v>
      </c>
      <c r="AL81" s="87">
        <f t="shared" si="20"/>
        <v>595.28749994483064</v>
      </c>
      <c r="AM81" s="87">
        <f t="shared" si="20"/>
        <v>600.57027452761622</v>
      </c>
      <c r="AP81" s="7">
        <f>ROW()</f>
        <v>81</v>
      </c>
    </row>
    <row r="82" spans="1:42" s="8" customFormat="1" ht="14" customHeight="1">
      <c r="B82" s="8" t="s">
        <v>328</v>
      </c>
      <c r="H82" s="24"/>
      <c r="I82" s="24"/>
      <c r="J82" s="91" t="str">
        <f>CONCATENATE("Row ",AP81, " less Row ",AP64, ".")</f>
        <v>Row 81 less Row 64.</v>
      </c>
      <c r="M82" s="139"/>
      <c r="N82"/>
      <c r="O82"/>
      <c r="P82" s="276"/>
      <c r="Q82" s="26">
        <f t="shared" ref="Q82:AM82" si="21">Q81-Q64</f>
        <v>-133.84185802420359</v>
      </c>
      <c r="R82" s="26">
        <f t="shared" si="21"/>
        <v>-135.01745673741124</v>
      </c>
      <c r="S82" s="26">
        <f t="shared" si="21"/>
        <v>-136.19172131212588</v>
      </c>
      <c r="T82" s="26">
        <f t="shared" si="21"/>
        <v>-137.36445026501599</v>
      </c>
      <c r="U82" s="26">
        <f t="shared" si="21"/>
        <v>-138.53544351223655</v>
      </c>
      <c r="V82" s="26">
        <f t="shared" si="21"/>
        <v>-139.70450254910941</v>
      </c>
      <c r="W82" s="26">
        <f t="shared" si="21"/>
        <v>-140.87143062971467</v>
      </c>
      <c r="X82" s="26">
        <f t="shared" si="21"/>
        <v>-142.03603294614732</v>
      </c>
      <c r="Y82" s="26">
        <f t="shared" si="21"/>
        <v>-143.19811680719226</v>
      </c>
      <c r="Z82" s="26">
        <f t="shared" si="21"/>
        <v>-144.35749181617689</v>
      </c>
      <c r="AA82" s="26">
        <f t="shared" si="21"/>
        <v>-145.51397004775095</v>
      </c>
      <c r="AB82" s="26">
        <f t="shared" si="21"/>
        <v>-145.63733093200005</v>
      </c>
      <c r="AC82" s="26">
        <f t="shared" si="21"/>
        <v>-145.73258911116352</v>
      </c>
      <c r="AD82" s="26">
        <f t="shared" si="21"/>
        <v>-145.79983967304838</v>
      </c>
      <c r="AE82" s="26">
        <f t="shared" si="21"/>
        <v>-145.83920874068133</v>
      </c>
      <c r="AF82" s="26">
        <f t="shared" si="21"/>
        <v>-145.85085324964609</v>
      </c>
      <c r="AG82" s="26">
        <f t="shared" si="21"/>
        <v>-145.83496065236113</v>
      </c>
      <c r="AH82" s="26">
        <f t="shared" si="21"/>
        <v>-145.79174855025349</v>
      </c>
      <c r="AI82" s="26">
        <f t="shared" si="21"/>
        <v>-145.72146425508265</v>
      </c>
      <c r="AJ82" s="26">
        <f t="shared" si="21"/>
        <v>-145.62438428096527</v>
      </c>
      <c r="AK82" s="26">
        <f t="shared" si="21"/>
        <v>-145.50081376892138</v>
      </c>
      <c r="AL82" s="26">
        <f t="shared" si="21"/>
        <v>-143.76702761566196</v>
      </c>
      <c r="AM82" s="26">
        <f t="shared" si="21"/>
        <v>-141.98673976035695</v>
      </c>
      <c r="AP82" s="7">
        <f>ROW()</f>
        <v>82</v>
      </c>
    </row>
    <row r="83" spans="1:42" s="8" customFormat="1" ht="14" customHeight="1">
      <c r="B83" s="8" t="s">
        <v>592</v>
      </c>
      <c r="H83" s="24"/>
      <c r="I83" s="24"/>
      <c r="J83" s="91" t="str">
        <f>CONCATENATE("Row ",AP81, " less Cell I",AP64, ".")</f>
        <v>Row 81 less Cell I64.</v>
      </c>
      <c r="M83" s="139"/>
      <c r="N83"/>
      <c r="O83"/>
      <c r="P83" s="276"/>
      <c r="Q83" s="26">
        <f t="shared" ref="Q83:AM83" si="22">Q81-$I$64</f>
        <v>-144.99107680602071</v>
      </c>
      <c r="R83" s="26">
        <f t="shared" si="22"/>
        <v>-137.61247168247877</v>
      </c>
      <c r="S83" s="26">
        <f t="shared" si="22"/>
        <v>-130.1265150396456</v>
      </c>
      <c r="T83" s="26">
        <f t="shared" si="22"/>
        <v>-122.53203329740222</v>
      </c>
      <c r="U83" s="26">
        <f t="shared" si="22"/>
        <v>-114.8278472404034</v>
      </c>
      <c r="V83" s="26">
        <f t="shared" si="22"/>
        <v>-107.01277204080907</v>
      </c>
      <c r="W83" s="26">
        <f t="shared" si="22"/>
        <v>-99.085617276882147</v>
      </c>
      <c r="X83" s="26">
        <f t="shared" si="22"/>
        <v>-91.045186947257548</v>
      </c>
      <c r="Y83" s="26">
        <f t="shared" si="22"/>
        <v>-82.890279480687468</v>
      </c>
      <c r="Z83" s="26">
        <f t="shared" si="22"/>
        <v>-74.619687741072426</v>
      </c>
      <c r="AA83" s="26">
        <f t="shared" si="22"/>
        <v>-66.232199027589672</v>
      </c>
      <c r="AB83" s="26">
        <f t="shared" si="22"/>
        <v>-59.401638806136589</v>
      </c>
      <c r="AC83" s="26">
        <f t="shared" si="22"/>
        <v>-52.526581117440287</v>
      </c>
      <c r="AD83" s="26">
        <f t="shared" si="22"/>
        <v>-45.607875402361628</v>
      </c>
      <c r="AE83" s="26">
        <f t="shared" si="22"/>
        <v>-38.646388739252302</v>
      </c>
      <c r="AF83" s="26">
        <f t="shared" si="22"/>
        <v>-31.64300481955911</v>
      </c>
      <c r="AG83" s="26">
        <f t="shared" si="22"/>
        <v>-24.598622884537804</v>
      </c>
      <c r="AH83" s="26">
        <f t="shared" si="22"/>
        <v>-17.514156625397732</v>
      </c>
      <c r="AI83" s="26">
        <f t="shared" si="22"/>
        <v>-10.390533049354303</v>
      </c>
      <c r="AJ83" s="26">
        <f t="shared" si="22"/>
        <v>-3.2286913142232834</v>
      </c>
      <c r="AK83" s="26">
        <f t="shared" si="22"/>
        <v>3.9704184656897041</v>
      </c>
      <c r="AL83" s="26">
        <f t="shared" si="22"/>
        <v>9.3451763257305629</v>
      </c>
      <c r="AM83" s="26">
        <f t="shared" si="22"/>
        <v>14.627950908516141</v>
      </c>
      <c r="AP83" s="7">
        <f>ROW()</f>
        <v>83</v>
      </c>
    </row>
    <row r="84" spans="1:42" s="8" customFormat="1" ht="14" customHeight="1">
      <c r="B84" s="8" t="s">
        <v>364</v>
      </c>
      <c r="H84" s="24"/>
      <c r="I84" s="24"/>
      <c r="J84" s="24"/>
      <c r="M84" s="139"/>
      <c r="N84"/>
      <c r="O84"/>
      <c r="P84" s="276"/>
      <c r="Q84" s="263">
        <f t="shared" ref="Q84:AM84" si="23">ROUND(Q81*Q17,-2)/1000</f>
        <v>38.299999999999997</v>
      </c>
      <c r="R84" s="263">
        <f t="shared" si="23"/>
        <v>39.6</v>
      </c>
      <c r="S84" s="263">
        <f t="shared" si="23"/>
        <v>40.9</v>
      </c>
      <c r="T84" s="263">
        <f t="shared" si="23"/>
        <v>42.3</v>
      </c>
      <c r="U84" s="263">
        <f t="shared" si="23"/>
        <v>43.7</v>
      </c>
      <c r="V84" s="263">
        <f t="shared" si="23"/>
        <v>45.1</v>
      </c>
      <c r="W84" s="263">
        <f t="shared" si="23"/>
        <v>46.6</v>
      </c>
      <c r="X84" s="263">
        <f t="shared" si="23"/>
        <v>48.2</v>
      </c>
      <c r="Y84" s="263">
        <f t="shared" si="23"/>
        <v>49.8</v>
      </c>
      <c r="Z84" s="263">
        <f t="shared" si="23"/>
        <v>51.4</v>
      </c>
      <c r="AA84" s="263">
        <f t="shared" si="23"/>
        <v>53.1</v>
      </c>
      <c r="AB84" s="263">
        <f t="shared" si="23"/>
        <v>54.7</v>
      </c>
      <c r="AC84" s="263">
        <f t="shared" si="23"/>
        <v>56.3</v>
      </c>
      <c r="AD84" s="263">
        <f t="shared" si="23"/>
        <v>57.9</v>
      </c>
      <c r="AE84" s="263">
        <f t="shared" si="23"/>
        <v>59.7</v>
      </c>
      <c r="AF84" s="263">
        <f t="shared" si="23"/>
        <v>61.4</v>
      </c>
      <c r="AG84" s="263">
        <f t="shared" si="23"/>
        <v>63.2</v>
      </c>
      <c r="AH84" s="263">
        <f t="shared" si="23"/>
        <v>65</v>
      </c>
      <c r="AI84" s="263">
        <f t="shared" si="23"/>
        <v>66.900000000000006</v>
      </c>
      <c r="AJ84" s="263">
        <f t="shared" si="23"/>
        <v>68.900000000000006</v>
      </c>
      <c r="AK84" s="263">
        <f t="shared" si="23"/>
        <v>70.900000000000006</v>
      </c>
      <c r="AL84" s="263">
        <f t="shared" si="23"/>
        <v>72.7</v>
      </c>
      <c r="AM84" s="263">
        <f t="shared" si="23"/>
        <v>74.5</v>
      </c>
      <c r="AP84" s="7">
        <f>ROW()</f>
        <v>84</v>
      </c>
    </row>
    <row r="85" spans="1:42" s="8" customFormat="1" ht="14" customHeight="1">
      <c r="H85" s="24"/>
      <c r="I85" s="24"/>
      <c r="J85" s="24"/>
      <c r="M85" s="139"/>
      <c r="N85" s="205"/>
      <c r="O85" s="205"/>
      <c r="P85" s="438"/>
      <c r="Q85" s="25"/>
      <c r="R85" s="25"/>
      <c r="S85" s="25"/>
      <c r="T85" s="25"/>
      <c r="U85" s="25"/>
      <c r="V85" s="25"/>
      <c r="W85" s="25"/>
      <c r="X85" s="25"/>
      <c r="Y85" s="25"/>
      <c r="Z85" s="25"/>
      <c r="AA85" s="25"/>
      <c r="AB85" s="25"/>
      <c r="AC85" s="25"/>
      <c r="AD85" s="25"/>
      <c r="AE85" s="25"/>
      <c r="AF85" s="25"/>
      <c r="AG85" s="25"/>
      <c r="AH85" s="25"/>
      <c r="AI85" s="25"/>
      <c r="AJ85" s="25"/>
      <c r="AK85" s="25"/>
      <c r="AL85" s="25"/>
      <c r="AM85" s="25"/>
      <c r="AP85" s="7">
        <f>ROW()</f>
        <v>85</v>
      </c>
    </row>
    <row r="86" spans="1:42" ht="14" customHeight="1">
      <c r="B86" s="55" t="s">
        <v>118</v>
      </c>
      <c r="H86" s="56">
        <f>-Parameters!G10</f>
        <v>0.5</v>
      </c>
      <c r="I86" s="56"/>
      <c r="J86" s="56"/>
      <c r="P86" s="27"/>
      <c r="AP86" s="7">
        <f>ROW()</f>
        <v>86</v>
      </c>
    </row>
    <row r="87" spans="1:42" ht="14" customHeight="1">
      <c r="B87" s="206" t="s">
        <v>620</v>
      </c>
      <c r="C87" s="107"/>
      <c r="D87" s="107"/>
      <c r="E87" s="107"/>
      <c r="F87" s="107"/>
      <c r="G87" s="107"/>
      <c r="H87" s="107"/>
      <c r="I87" s="107"/>
      <c r="J87" s="107"/>
      <c r="K87" s="107"/>
      <c r="L87" s="107"/>
      <c r="M87" s="107"/>
      <c r="N87" s="135"/>
      <c r="O87" s="135"/>
      <c r="P87" s="439"/>
      <c r="AP87" s="7">
        <f>ROW()</f>
        <v>87</v>
      </c>
    </row>
    <row r="88" spans="1:42" ht="14" customHeight="1">
      <c r="C88" s="107"/>
      <c r="D88" s="107"/>
      <c r="E88" s="107"/>
      <c r="F88" s="107"/>
      <c r="G88" s="107"/>
      <c r="H88" s="107"/>
      <c r="I88" s="107"/>
      <c r="J88" s="107"/>
      <c r="K88" s="107"/>
      <c r="L88" s="107"/>
      <c r="M88" s="107"/>
      <c r="N88" s="135"/>
      <c r="O88" s="135"/>
      <c r="P88" s="439"/>
      <c r="AP88" s="7">
        <f>ROW()</f>
        <v>88</v>
      </c>
    </row>
    <row r="89" spans="1:42" ht="14" customHeight="1">
      <c r="B89" s="107"/>
      <c r="C89" s="71"/>
      <c r="D89" s="71"/>
      <c r="E89" s="71"/>
      <c r="F89" s="71"/>
      <c r="G89" s="71"/>
      <c r="H89" s="131"/>
      <c r="I89" s="131"/>
      <c r="J89" s="131"/>
      <c r="K89" s="71"/>
      <c r="L89" s="71"/>
      <c r="P89" s="27"/>
      <c r="AP89" s="7">
        <f>ROW()</f>
        <v>89</v>
      </c>
    </row>
    <row r="90" spans="1:42" ht="14" customHeight="1">
      <c r="B90" s="113" t="s">
        <v>123</v>
      </c>
      <c r="C90" s="71"/>
      <c r="D90" s="71" t="s">
        <v>91</v>
      </c>
      <c r="E90" s="71"/>
      <c r="F90" s="71"/>
      <c r="G90" s="71"/>
      <c r="H90" s="71"/>
      <c r="I90" s="71"/>
      <c r="J90" s="71"/>
      <c r="K90" s="71"/>
      <c r="L90" s="71"/>
      <c r="P90" s="27"/>
      <c r="AP90" s="7">
        <f>ROW()</f>
        <v>90</v>
      </c>
    </row>
    <row r="91" spans="1:42" ht="14" customHeight="1">
      <c r="B91" s="71"/>
      <c r="C91" s="71"/>
      <c r="D91" s="71"/>
      <c r="E91" s="71"/>
      <c r="F91" s="71"/>
      <c r="G91" s="71"/>
      <c r="H91" s="71"/>
      <c r="I91" s="71"/>
      <c r="J91" s="71"/>
      <c r="K91" s="71"/>
      <c r="L91" s="71"/>
      <c r="P91" s="27"/>
      <c r="AP91" s="7">
        <f>ROW()</f>
        <v>91</v>
      </c>
    </row>
    <row r="92" spans="1:42" ht="14" customHeight="1">
      <c r="B92" s="815" t="s">
        <v>754</v>
      </c>
      <c r="C92" s="738"/>
      <c r="D92" s="738"/>
      <c r="E92" s="738"/>
      <c r="F92" s="738"/>
      <c r="G92" s="738"/>
      <c r="H92" s="738"/>
      <c r="I92" s="135"/>
      <c r="J92" s="135"/>
      <c r="K92" s="71"/>
      <c r="L92" s="71"/>
      <c r="P92" s="27"/>
      <c r="AP92" s="7">
        <f>ROW()</f>
        <v>92</v>
      </c>
    </row>
    <row r="93" spans="1:42" ht="14" customHeight="1">
      <c r="B93" s="738"/>
      <c r="C93" s="738"/>
      <c r="D93" s="738"/>
      <c r="E93" s="738"/>
      <c r="F93" s="738"/>
      <c r="G93" s="738"/>
      <c r="H93" s="738"/>
      <c r="I93" s="135"/>
      <c r="J93" s="135"/>
      <c r="K93" s="71"/>
      <c r="L93" s="71"/>
      <c r="P93" s="27"/>
    </row>
    <row r="94" spans="1:42" ht="14" customHeight="1">
      <c r="B94" s="71"/>
      <c r="C94" s="71"/>
      <c r="D94" s="71"/>
      <c r="E94" s="71"/>
      <c r="F94" s="71"/>
      <c r="G94" s="71"/>
      <c r="H94" s="71"/>
      <c r="I94" s="71"/>
      <c r="J94" s="71"/>
      <c r="K94" s="71"/>
      <c r="L94" s="71"/>
      <c r="P94" s="27"/>
    </row>
    <row r="95" spans="1:42" ht="14" customHeight="1">
      <c r="B95" s="32" t="s">
        <v>755</v>
      </c>
      <c r="H95" s="71"/>
      <c r="I95" s="71"/>
      <c r="J95" s="71"/>
      <c r="K95" s="71"/>
      <c r="L95" s="71"/>
      <c r="P95" s="27"/>
    </row>
    <row r="96" spans="1:42" ht="14" customHeight="1">
      <c r="H96" s="71"/>
      <c r="I96" s="71"/>
      <c r="J96" s="71"/>
      <c r="K96" s="71"/>
      <c r="L96" s="71"/>
      <c r="P96"/>
    </row>
    <row r="97" spans="1:42" ht="14" customHeight="1">
      <c r="H97" s="71"/>
      <c r="I97" s="71"/>
      <c r="J97" s="71"/>
      <c r="K97" s="71"/>
      <c r="L97" s="71"/>
      <c r="P97"/>
    </row>
    <row r="98" spans="1:42" ht="14" customHeight="1">
      <c r="A98" s="13"/>
      <c r="H98" s="71"/>
      <c r="I98" s="71"/>
      <c r="J98" s="71"/>
      <c r="K98" s="71"/>
      <c r="L98" s="71"/>
      <c r="P98"/>
    </row>
    <row r="99" spans="1:42" s="13" customFormat="1" ht="14" customHeight="1">
      <c r="A99"/>
      <c r="B99"/>
      <c r="C99"/>
      <c r="D99"/>
      <c r="E99"/>
      <c r="F99"/>
      <c r="G99"/>
      <c r="H99" s="166"/>
      <c r="I99" s="166"/>
      <c r="J99" s="166"/>
      <c r="K99" s="166"/>
      <c r="L99" s="166"/>
      <c r="M99" s="166"/>
      <c r="N99" s="166"/>
      <c r="O99" s="166"/>
      <c r="P99"/>
      <c r="Q99"/>
      <c r="AP99"/>
    </row>
    <row r="100" spans="1:42" ht="14" customHeight="1">
      <c r="H100" s="71"/>
      <c r="I100" s="71"/>
      <c r="J100" s="71"/>
      <c r="K100" s="71"/>
      <c r="L100" s="71"/>
      <c r="P100"/>
    </row>
    <row r="101" spans="1:42" ht="14" customHeight="1">
      <c r="H101" s="71"/>
      <c r="I101" s="71"/>
      <c r="J101" s="71"/>
      <c r="K101" s="71"/>
      <c r="L101" s="71"/>
      <c r="P101"/>
    </row>
    <row r="102" spans="1:42" ht="14" customHeight="1">
      <c r="A102" s="13"/>
      <c r="H102" s="71"/>
      <c r="I102" s="71"/>
      <c r="J102" s="71"/>
      <c r="K102" s="71"/>
      <c r="L102" s="71"/>
      <c r="P102"/>
    </row>
    <row r="103" spans="1:42" s="13" customFormat="1" ht="14" customHeight="1">
      <c r="A103"/>
      <c r="B103"/>
      <c r="C103"/>
      <c r="D103"/>
      <c r="E103"/>
      <c r="F103"/>
      <c r="G103"/>
      <c r="H103" s="166"/>
      <c r="I103" s="166"/>
      <c r="J103" s="166"/>
      <c r="K103" s="166"/>
      <c r="L103" s="166"/>
      <c r="M103" s="166"/>
      <c r="N103" s="166"/>
      <c r="O103" s="166"/>
      <c r="P103"/>
      <c r="Q103"/>
      <c r="AP103"/>
    </row>
    <row r="104" spans="1:42" ht="14" customHeight="1">
      <c r="H104" s="71"/>
      <c r="I104" s="71"/>
      <c r="J104" s="71"/>
      <c r="K104" s="71"/>
      <c r="L104" s="71"/>
      <c r="P104"/>
    </row>
    <row r="105" spans="1:42" ht="14" customHeight="1">
      <c r="H105" s="71"/>
      <c r="I105" s="71"/>
      <c r="J105" s="71"/>
      <c r="K105" s="71"/>
      <c r="L105" s="71"/>
      <c r="P105"/>
    </row>
    <row r="106" spans="1:42" ht="14" customHeight="1">
      <c r="H106" s="71"/>
      <c r="I106" s="71"/>
      <c r="J106" s="71"/>
      <c r="K106" s="71"/>
      <c r="L106" s="71"/>
      <c r="P106"/>
    </row>
    <row r="107" spans="1:42" ht="14" customHeight="1">
      <c r="A107" s="13"/>
      <c r="H107" s="71"/>
      <c r="I107" s="71"/>
      <c r="J107" s="71"/>
      <c r="K107" s="71"/>
      <c r="L107" s="71"/>
      <c r="P107"/>
    </row>
    <row r="108" spans="1:42" ht="14" customHeight="1">
      <c r="A108" s="13"/>
      <c r="H108" s="71"/>
      <c r="I108" s="71"/>
      <c r="J108" s="71"/>
      <c r="K108" s="71"/>
      <c r="L108" s="71"/>
      <c r="P108"/>
    </row>
    <row r="109" spans="1:42" ht="14" customHeight="1">
      <c r="A109" s="13"/>
      <c r="H109" s="71"/>
      <c r="I109" s="71"/>
      <c r="J109" s="71"/>
      <c r="K109" s="71"/>
      <c r="L109" s="71"/>
      <c r="P109"/>
    </row>
    <row r="110" spans="1:42" ht="14" customHeight="1">
      <c r="H110" s="71"/>
      <c r="I110" s="71"/>
      <c r="J110" s="71"/>
      <c r="K110" s="71"/>
      <c r="L110" s="71"/>
      <c r="P110"/>
    </row>
    <row r="111" spans="1:42" ht="14" customHeight="1">
      <c r="H111" s="71"/>
      <c r="I111" s="71"/>
      <c r="J111" s="71"/>
      <c r="K111" s="71"/>
      <c r="L111" s="71"/>
      <c r="P111"/>
    </row>
    <row r="112" spans="1:42" ht="14" customHeight="1">
      <c r="H112" s="71"/>
      <c r="I112" s="71"/>
      <c r="J112" s="71"/>
      <c r="K112" s="71"/>
      <c r="L112" s="71"/>
      <c r="P112"/>
    </row>
    <row r="113" spans="8:16" ht="14" customHeight="1">
      <c r="H113" s="71"/>
      <c r="I113" s="71"/>
      <c r="J113" s="71"/>
      <c r="K113" s="71"/>
      <c r="L113" s="71"/>
      <c r="P113"/>
    </row>
    <row r="114" spans="8:16" ht="14" customHeight="1">
      <c r="P114"/>
    </row>
    <row r="115" spans="8:16" ht="14" customHeight="1">
      <c r="P115"/>
    </row>
    <row r="116" spans="8:16" ht="14" customHeight="1">
      <c r="P116"/>
    </row>
  </sheetData>
  <mergeCells count="17">
    <mergeCell ref="B60:N62"/>
    <mergeCell ref="I18:P18"/>
    <mergeCell ref="Q3:R5"/>
    <mergeCell ref="B92:H93"/>
    <mergeCell ref="K9:K12"/>
    <mergeCell ref="M9:M12"/>
    <mergeCell ref="Q9:Q12"/>
    <mergeCell ref="L9:L12"/>
    <mergeCell ref="N9:N12"/>
    <mergeCell ref="O9:O12"/>
    <mergeCell ref="P9:P12"/>
    <mergeCell ref="K73:P73"/>
    <mergeCell ref="J77:P78"/>
    <mergeCell ref="B65:N66"/>
    <mergeCell ref="B3:I6"/>
    <mergeCell ref="G21:H26"/>
    <mergeCell ref="B9:H10"/>
  </mergeCells>
  <phoneticPr fontId="3" type="noConversion"/>
  <printOptions gridLines="1"/>
  <pageMargins left="0.6" right="0.5" top="0.4" bottom="0.25" header="0.5" footer="0.5"/>
  <pageSetup scale="90" orientation="landscape"/>
  <headerFooter alignWithMargins="0"/>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25"/>
  <sheetViews>
    <sheetView workbookViewId="0"/>
  </sheetViews>
  <sheetFormatPr baseColWidth="10" defaultColWidth="11.6640625" defaultRowHeight="14" customHeight="1" x14ac:dyDescent="0"/>
  <cols>
    <col min="1" max="1" width="2.6640625" customWidth="1"/>
    <col min="2" max="2" width="42.33203125" customWidth="1"/>
    <col min="3" max="15" width="11.6640625" customWidth="1"/>
    <col min="16" max="16" width="2.1640625" style="7" customWidth="1"/>
  </cols>
  <sheetData>
    <row r="1" spans="2:16" ht="14" customHeight="1">
      <c r="B1" s="59" t="s">
        <v>413</v>
      </c>
      <c r="J1" s="237">
        <f>Summary!F3</f>
        <v>41674</v>
      </c>
      <c r="P1" s="7">
        <f>ROW()</f>
        <v>1</v>
      </c>
    </row>
    <row r="2" spans="2:16" ht="14" customHeight="1">
      <c r="P2" s="7">
        <f>ROW()</f>
        <v>2</v>
      </c>
    </row>
    <row r="3" spans="2:16" ht="14" customHeight="1">
      <c r="B3" s="8" t="s">
        <v>452</v>
      </c>
      <c r="P3" s="7">
        <f>ROW()</f>
        <v>3</v>
      </c>
    </row>
    <row r="4" spans="2:16" ht="14" customHeight="1">
      <c r="B4" t="s">
        <v>451</v>
      </c>
      <c r="P4" s="7">
        <f>ROW()</f>
        <v>4</v>
      </c>
    </row>
    <row r="5" spans="2:16" ht="14" customHeight="1">
      <c r="P5" s="7">
        <f>ROW()</f>
        <v>5</v>
      </c>
    </row>
    <row r="6" spans="2:16" ht="14" customHeight="1">
      <c r="P6" s="7">
        <f>ROW()</f>
        <v>6</v>
      </c>
    </row>
    <row r="7" spans="2:16" ht="14" customHeight="1">
      <c r="C7" s="905" t="s">
        <v>425</v>
      </c>
      <c r="D7" s="905"/>
      <c r="E7" s="311" t="s">
        <v>426</v>
      </c>
      <c r="F7" s="311" t="s">
        <v>426</v>
      </c>
      <c r="G7" s="905" t="s">
        <v>423</v>
      </c>
      <c r="H7" s="905"/>
      <c r="I7" s="905"/>
      <c r="J7" s="905" t="s">
        <v>432</v>
      </c>
      <c r="K7" s="905"/>
      <c r="L7" s="905"/>
      <c r="P7" s="7">
        <f>ROW()</f>
        <v>7</v>
      </c>
    </row>
    <row r="8" spans="2:16" ht="14" customHeight="1">
      <c r="C8" s="13">
        <v>2010</v>
      </c>
      <c r="D8" s="13">
        <v>2011</v>
      </c>
      <c r="E8" s="13">
        <v>2011</v>
      </c>
      <c r="F8" s="13">
        <v>2012</v>
      </c>
      <c r="G8" s="13">
        <v>2025</v>
      </c>
      <c r="H8" s="13">
        <v>2035</v>
      </c>
      <c r="I8" s="13">
        <v>2040</v>
      </c>
      <c r="J8" s="12" t="s">
        <v>431</v>
      </c>
      <c r="K8" s="12" t="s">
        <v>429</v>
      </c>
      <c r="L8" s="12" t="s">
        <v>430</v>
      </c>
      <c r="N8" s="12" t="s">
        <v>447</v>
      </c>
      <c r="P8" s="7">
        <f>ROW()</f>
        <v>8</v>
      </c>
    </row>
    <row r="9" spans="2:16" ht="14" customHeight="1">
      <c r="B9" s="8" t="s">
        <v>415</v>
      </c>
      <c r="E9" s="909" t="str">
        <f>CONCATENATE("Energy Cell M",Energy!Q71, " div. by Energy Cell D",Energy!Q42, ".")</f>
        <v>Energy Cell M71 div. by Energy Cell D42.</v>
      </c>
      <c r="P9" s="7">
        <f>ROW()</f>
        <v>9</v>
      </c>
    </row>
    <row r="10" spans="2:16" ht="14" customHeight="1">
      <c r="B10" s="69" t="s">
        <v>419</v>
      </c>
      <c r="C10" s="313">
        <v>81.31</v>
      </c>
      <c r="D10" s="313">
        <v>111.26</v>
      </c>
      <c r="E10" s="910"/>
      <c r="G10" s="313">
        <v>117.36</v>
      </c>
      <c r="H10" s="313">
        <v>145.41</v>
      </c>
      <c r="I10" s="313">
        <v>162.68</v>
      </c>
      <c r="J10" s="23">
        <f>(G10/D10)^(1/(G$8-D$8))</f>
        <v>1.0038198721274467</v>
      </c>
      <c r="K10" s="23">
        <f t="shared" ref="K10:L12" si="0">(H10/G10)^(1/(H$8-G$8))</f>
        <v>1.0216624162857382</v>
      </c>
      <c r="L10" s="23">
        <f t="shared" si="0"/>
        <v>1.0226993451376802</v>
      </c>
      <c r="N10" s="23">
        <f>(H10/C10)^(1/(H$8-C$8))</f>
        <v>1.0235239573582087</v>
      </c>
      <c r="P10" s="7">
        <f>ROW()</f>
        <v>10</v>
      </c>
    </row>
    <row r="11" spans="2:16" ht="14" customHeight="1">
      <c r="B11" s="69" t="s">
        <v>416</v>
      </c>
      <c r="C11" s="313">
        <v>81.08</v>
      </c>
      <c r="D11" s="313">
        <v>94.86</v>
      </c>
      <c r="E11" s="910"/>
      <c r="G11" s="313">
        <v>115.36</v>
      </c>
      <c r="H11" s="313">
        <v>143.41</v>
      </c>
      <c r="I11" s="313">
        <v>160.68</v>
      </c>
      <c r="J11" s="23">
        <f>(G11/D11)^(1/(G$8-D$8))</f>
        <v>1.0140735090251727</v>
      </c>
      <c r="K11" s="23">
        <f t="shared" si="0"/>
        <v>1.0220035840978767</v>
      </c>
      <c r="L11" s="23">
        <f t="shared" si="0"/>
        <v>1.0230019874663849</v>
      </c>
      <c r="P11" s="7">
        <f>ROW()</f>
        <v>11</v>
      </c>
    </row>
    <row r="12" spans="2:16" ht="14" customHeight="1">
      <c r="B12" s="69" t="s">
        <v>417</v>
      </c>
      <c r="C12" s="313">
        <v>4.46</v>
      </c>
      <c r="D12" s="313">
        <v>3.98</v>
      </c>
      <c r="E12" s="428">
        <f>1000*Energy!M71/Energy!D42</f>
        <v>3.8386783284742467</v>
      </c>
      <c r="G12" s="313">
        <v>4.87</v>
      </c>
      <c r="H12" s="313">
        <v>6.32</v>
      </c>
      <c r="I12" s="313">
        <v>7.83</v>
      </c>
      <c r="J12" s="429">
        <f>(G12/E12)^(1/(G$8-E$8))</f>
        <v>1.0171428386797807</v>
      </c>
      <c r="K12" s="23">
        <f t="shared" si="0"/>
        <v>1.0264051246095105</v>
      </c>
      <c r="L12" s="23">
        <f t="shared" si="0"/>
        <v>1.0437799176290077</v>
      </c>
      <c r="N12" s="23">
        <f>(H12/C12)^(1/(H$8-C$8))</f>
        <v>1.0140404720989717</v>
      </c>
      <c r="P12" s="7">
        <f>ROW()</f>
        <v>12</v>
      </c>
    </row>
    <row r="13" spans="2:16" ht="14" customHeight="1">
      <c r="B13" s="69" t="s">
        <v>418</v>
      </c>
      <c r="C13" s="313">
        <v>36.369999999999997</v>
      </c>
      <c r="D13" s="313">
        <v>41.16</v>
      </c>
      <c r="E13" s="313"/>
      <c r="G13" s="313">
        <v>52.02</v>
      </c>
      <c r="H13" s="313">
        <v>58.57</v>
      </c>
      <c r="I13" s="313">
        <v>61.28</v>
      </c>
      <c r="P13" s="7">
        <f>ROW()</f>
        <v>13</v>
      </c>
    </row>
    <row r="14" spans="2:16" ht="14" customHeight="1">
      <c r="B14" s="69" t="s">
        <v>436</v>
      </c>
      <c r="C14" s="312">
        <v>10</v>
      </c>
      <c r="D14" s="312">
        <v>9.9</v>
      </c>
      <c r="E14" s="312"/>
      <c r="G14" s="312">
        <v>9.5</v>
      </c>
      <c r="H14" s="312">
        <v>10.1</v>
      </c>
      <c r="I14" s="312">
        <v>10.8</v>
      </c>
      <c r="J14" s="23">
        <f>(G14/D14)^(1/(G$8-D$8))</f>
        <v>0.99705840937138501</v>
      </c>
      <c r="K14" s="23">
        <f>(H14/G14)^(1/(H$8-G$8))</f>
        <v>1.0061431547761692</v>
      </c>
      <c r="L14" s="23">
        <f>(I14/H14)^(1/(I$8-H$8))</f>
        <v>1.0134923533200011</v>
      </c>
      <c r="P14" s="7">
        <f>ROW()</f>
        <v>14</v>
      </c>
    </row>
    <row r="15" spans="2:16" ht="14" customHeight="1">
      <c r="P15" s="7">
        <f>ROW()</f>
        <v>15</v>
      </c>
    </row>
    <row r="16" spans="2:16" ht="14" customHeight="1">
      <c r="B16" s="8" t="s">
        <v>422</v>
      </c>
      <c r="J16" s="12" t="s">
        <v>428</v>
      </c>
      <c r="K16" s="12" t="s">
        <v>429</v>
      </c>
      <c r="L16" s="12" t="s">
        <v>430</v>
      </c>
      <c r="P16" s="7">
        <f>ROW()</f>
        <v>16</v>
      </c>
    </row>
    <row r="17" spans="2:16" ht="14" customHeight="1">
      <c r="B17" s="69" t="s">
        <v>424</v>
      </c>
      <c r="C17" s="310">
        <v>13063</v>
      </c>
      <c r="D17" s="310">
        <v>13299</v>
      </c>
      <c r="E17" s="310"/>
      <c r="F17" s="315">
        <v>13591.1</v>
      </c>
      <c r="G17" s="310">
        <v>18985</v>
      </c>
      <c r="H17" s="310">
        <v>24095</v>
      </c>
      <c r="I17" s="310">
        <v>27277</v>
      </c>
      <c r="J17" s="23">
        <f t="shared" ref="J17:L18" si="1">(G17/F17)^(1/(G$8-F$8))</f>
        <v>1.0260436705828222</v>
      </c>
      <c r="K17" s="23">
        <f t="shared" si="1"/>
        <v>1.0241218520094839</v>
      </c>
      <c r="L17" s="23">
        <f t="shared" si="1"/>
        <v>1.0251181776700682</v>
      </c>
      <c r="N17" s="23">
        <f>(H17/C17)^(1/(H$8-C$8))</f>
        <v>1.0247911356650146</v>
      </c>
      <c r="P17" s="7">
        <f>ROW()</f>
        <v>17</v>
      </c>
    </row>
    <row r="18" spans="2:16" ht="14" customHeight="1">
      <c r="B18" s="69" t="s">
        <v>414</v>
      </c>
      <c r="C18" s="69">
        <v>1.1100000000000001</v>
      </c>
      <c r="D18" s="69">
        <v>1.1339999999999999</v>
      </c>
      <c r="E18" s="69"/>
      <c r="F18" s="316">
        <f>D18*229.594/224.939</f>
        <v>1.1574675623168946</v>
      </c>
      <c r="G18" s="69">
        <v>1.429</v>
      </c>
      <c r="H18" s="69">
        <v>1.7130000000000001</v>
      </c>
      <c r="I18" s="69">
        <v>1.871</v>
      </c>
      <c r="J18" s="23">
        <f t="shared" si="1"/>
        <v>1.0163429091838896</v>
      </c>
      <c r="K18" s="23">
        <f t="shared" si="1"/>
        <v>1.0182924257538559</v>
      </c>
      <c r="L18" s="23">
        <f t="shared" si="1"/>
        <v>1.0178019647807248</v>
      </c>
      <c r="N18" s="23">
        <f>(H18/C18)^(1/(H$8-C$8))</f>
        <v>1.0175069290216461</v>
      </c>
      <c r="P18" s="7">
        <f>ROW()</f>
        <v>18</v>
      </c>
    </row>
    <row r="19" spans="2:16" ht="14" customHeight="1">
      <c r="B19" s="69" t="s">
        <v>420</v>
      </c>
      <c r="C19" s="310">
        <v>10017</v>
      </c>
      <c r="D19" s="310">
        <v>10150</v>
      </c>
      <c r="E19" s="310"/>
      <c r="F19" s="906" t="s">
        <v>427</v>
      </c>
      <c r="G19" s="310">
        <v>14259</v>
      </c>
      <c r="H19" s="310">
        <v>17752</v>
      </c>
      <c r="I19" s="310">
        <v>19785</v>
      </c>
      <c r="K19" s="23">
        <f>(H19/G19)^(1/(H$8-G$8))</f>
        <v>1.0221527985321162</v>
      </c>
      <c r="L19" s="23">
        <f>(I19/H19)^(1/(I$8-H$8))</f>
        <v>1.0219220101291193</v>
      </c>
      <c r="P19" s="7">
        <f>ROW()</f>
        <v>19</v>
      </c>
    </row>
    <row r="20" spans="2:16" ht="14" customHeight="1">
      <c r="B20" s="69" t="s">
        <v>421</v>
      </c>
      <c r="C20" s="310">
        <v>5842</v>
      </c>
      <c r="D20" s="310">
        <v>6019</v>
      </c>
      <c r="E20" s="310"/>
      <c r="F20" s="907"/>
      <c r="G20" s="310">
        <v>8548</v>
      </c>
      <c r="H20" s="310">
        <v>9779</v>
      </c>
      <c r="I20" s="310">
        <v>10616</v>
      </c>
      <c r="K20" s="23">
        <f>(H20/G20)^(1/(H$8-G$8))</f>
        <v>1.0135449013527598</v>
      </c>
      <c r="L20" s="23">
        <f>(I20/H20)^(1/(I$8-H$8))</f>
        <v>1.0165606456437002</v>
      </c>
      <c r="P20" s="7">
        <f>ROW()</f>
        <v>20</v>
      </c>
    </row>
    <row r="21" spans="2:16" ht="14" customHeight="1">
      <c r="F21" s="907"/>
      <c r="P21" s="7">
        <f>ROW()</f>
        <v>21</v>
      </c>
    </row>
    <row r="22" spans="2:16" ht="14" customHeight="1">
      <c r="F22" s="907"/>
      <c r="P22" s="7">
        <f>ROW()</f>
        <v>22</v>
      </c>
    </row>
    <row r="23" spans="2:16" ht="14" customHeight="1">
      <c r="F23" s="908"/>
      <c r="P23" s="7">
        <f>ROW()</f>
        <v>23</v>
      </c>
    </row>
    <row r="24" spans="2:16" ht="14" customHeight="1">
      <c r="F24" s="314"/>
    </row>
    <row r="25" spans="2:16" ht="14" customHeight="1">
      <c r="F25" s="314"/>
    </row>
  </sheetData>
  <mergeCells count="5">
    <mergeCell ref="G7:I7"/>
    <mergeCell ref="C7:D7"/>
    <mergeCell ref="F19:F23"/>
    <mergeCell ref="J7:L7"/>
    <mergeCell ref="E9:E11"/>
  </mergeCells>
  <pageMargins left="0.7" right="0.7" top="0.75" bottom="0.75" header="0.3" footer="0.3"/>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54"/>
  <sheetViews>
    <sheetView workbookViewId="0"/>
  </sheetViews>
  <sheetFormatPr baseColWidth="10" defaultColWidth="11.6640625" defaultRowHeight="14" customHeight="1" x14ac:dyDescent="0"/>
  <cols>
    <col min="1" max="1" width="2.6640625" customWidth="1"/>
    <col min="2" max="14" width="11.6640625" customWidth="1"/>
    <col min="15" max="15" width="1.6640625" customWidth="1"/>
  </cols>
  <sheetData>
    <row r="1" spans="2:15" ht="14" customHeight="1">
      <c r="B1" s="59" t="s">
        <v>168</v>
      </c>
      <c r="K1" s="237">
        <f>Summary!F3</f>
        <v>41674</v>
      </c>
      <c r="O1" s="7">
        <f>ROW()</f>
        <v>1</v>
      </c>
    </row>
    <row r="2" spans="2:15" ht="14" customHeight="1">
      <c r="O2" s="7">
        <f>ROW()</f>
        <v>2</v>
      </c>
    </row>
    <row r="3" spans="2:15" ht="14" customHeight="1">
      <c r="O3" s="7">
        <f>ROW()</f>
        <v>3</v>
      </c>
    </row>
    <row r="4" spans="2:15" ht="14" customHeight="1">
      <c r="O4" s="7">
        <f>ROW()</f>
        <v>4</v>
      </c>
    </row>
    <row r="5" spans="2:15" ht="14" customHeight="1">
      <c r="B5" s="8" t="s">
        <v>363</v>
      </c>
      <c r="G5" s="12" t="s">
        <v>295</v>
      </c>
      <c r="H5" s="12" t="s">
        <v>296</v>
      </c>
      <c r="O5" s="7">
        <f>ROW()</f>
        <v>5</v>
      </c>
    </row>
    <row r="6" spans="2:15" ht="14" customHeight="1">
      <c r="B6" s="32" t="s">
        <v>107</v>
      </c>
      <c r="G6" s="6">
        <v>-0.7</v>
      </c>
      <c r="H6" s="6">
        <f>1/2</f>
        <v>0.5</v>
      </c>
      <c r="I6" s="761" t="s">
        <v>441</v>
      </c>
      <c r="J6" s="762"/>
      <c r="K6" s="762"/>
      <c r="L6" s="762"/>
      <c r="M6" s="762"/>
      <c r="N6" s="762"/>
      <c r="O6" s="7">
        <f>ROW()</f>
        <v>6</v>
      </c>
    </row>
    <row r="7" spans="2:15" ht="14" customHeight="1">
      <c r="B7" s="32" t="s">
        <v>302</v>
      </c>
      <c r="G7" s="6">
        <v>-0.4</v>
      </c>
      <c r="H7" s="6">
        <f>2/3</f>
        <v>0.66666666666666663</v>
      </c>
      <c r="I7" s="762"/>
      <c r="J7" s="762"/>
      <c r="K7" s="762"/>
      <c r="L7" s="762"/>
      <c r="M7" s="762"/>
      <c r="N7" s="762"/>
      <c r="O7" s="7">
        <f>ROW()</f>
        <v>7</v>
      </c>
    </row>
    <row r="8" spans="2:15" ht="14" customHeight="1">
      <c r="B8" s="32" t="s">
        <v>312</v>
      </c>
      <c r="G8" s="6">
        <v>-0.5</v>
      </c>
      <c r="H8" s="6">
        <f>2/3</f>
        <v>0.66666666666666663</v>
      </c>
      <c r="I8" s="762"/>
      <c r="J8" s="762"/>
      <c r="K8" s="762"/>
      <c r="L8" s="762"/>
      <c r="M8" s="762"/>
      <c r="N8" s="762"/>
      <c r="O8" s="7">
        <f>ROW()</f>
        <v>8</v>
      </c>
    </row>
    <row r="9" spans="2:15" ht="14" customHeight="1">
      <c r="B9" s="32" t="s">
        <v>314</v>
      </c>
      <c r="G9" s="6">
        <f>G7*1.5</f>
        <v>-0.60000000000000009</v>
      </c>
      <c r="H9" s="6">
        <v>1</v>
      </c>
      <c r="I9" s="762"/>
      <c r="J9" s="762"/>
      <c r="K9" s="762"/>
      <c r="L9" s="762"/>
      <c r="M9" s="762"/>
      <c r="N9" s="762"/>
      <c r="O9" s="7">
        <f>ROW()</f>
        <v>9</v>
      </c>
    </row>
    <row r="10" spans="2:15" ht="14" customHeight="1">
      <c r="B10" s="32" t="s">
        <v>759</v>
      </c>
      <c r="G10" s="6">
        <v>-0.5</v>
      </c>
      <c r="H10">
        <f>3/4</f>
        <v>0.75</v>
      </c>
      <c r="I10" s="762"/>
      <c r="J10" s="762"/>
      <c r="K10" s="762"/>
      <c r="L10" s="762"/>
      <c r="M10" s="762"/>
      <c r="N10" s="762"/>
      <c r="O10" s="7">
        <f>ROW()</f>
        <v>10</v>
      </c>
    </row>
    <row r="11" spans="2:15" ht="14" customHeight="1">
      <c r="O11" s="7">
        <f>ROW()</f>
        <v>11</v>
      </c>
    </row>
    <row r="12" spans="2:15" ht="14" customHeight="1">
      <c r="B12" s="8" t="s">
        <v>394</v>
      </c>
      <c r="O12" s="7">
        <f>ROW()</f>
        <v>12</v>
      </c>
    </row>
    <row r="13" spans="2:15" ht="14" customHeight="1">
      <c r="B13" t="s">
        <v>113</v>
      </c>
      <c r="H13" s="20">
        <f>44/12</f>
        <v>3.6666666666666665</v>
      </c>
      <c r="O13" s="7">
        <f>ROW()</f>
        <v>13</v>
      </c>
    </row>
    <row r="14" spans="2:15" ht="14" customHeight="1">
      <c r="B14" t="s">
        <v>109</v>
      </c>
      <c r="H14" s="18">
        <v>2205</v>
      </c>
      <c r="I14" s="279"/>
      <c r="O14" s="7">
        <f>ROW()</f>
        <v>14</v>
      </c>
    </row>
    <row r="15" spans="2:15" ht="14" customHeight="1">
      <c r="B15" s="32" t="s">
        <v>174</v>
      </c>
      <c r="H15" s="18">
        <v>2000</v>
      </c>
      <c r="O15" s="7">
        <f>ROW()</f>
        <v>15</v>
      </c>
    </row>
    <row r="16" spans="2:15" ht="14" customHeight="1">
      <c r="B16" s="32" t="s">
        <v>184</v>
      </c>
      <c r="H16" s="121">
        <v>453.59237000000002</v>
      </c>
      <c r="O16" s="7">
        <f>ROW()</f>
        <v>16</v>
      </c>
    </row>
    <row r="17" spans="2:15" ht="14" customHeight="1">
      <c r="B17" s="32" t="s">
        <v>177</v>
      </c>
      <c r="H17">
        <v>42</v>
      </c>
      <c r="O17" s="7">
        <f>ROW()</f>
        <v>17</v>
      </c>
    </row>
    <row r="18" spans="2:15" ht="14" customHeight="1">
      <c r="B18" s="32" t="s">
        <v>182</v>
      </c>
      <c r="H18">
        <v>365</v>
      </c>
      <c r="O18" s="7">
        <f>ROW()</f>
        <v>18</v>
      </c>
    </row>
    <row r="19" spans="2:15" ht="14" customHeight="1">
      <c r="O19" s="7">
        <f>ROW()</f>
        <v>19</v>
      </c>
    </row>
    <row r="20" spans="2:15" ht="14" customHeight="1">
      <c r="B20" s="8" t="s">
        <v>691</v>
      </c>
      <c r="O20" s="7">
        <f>ROW()</f>
        <v>20</v>
      </c>
    </row>
    <row r="21" spans="2:15" ht="14" customHeight="1">
      <c r="B21" t="s">
        <v>692</v>
      </c>
      <c r="H21">
        <v>42.28</v>
      </c>
      <c r="O21" s="7">
        <f>ROW()</f>
        <v>21</v>
      </c>
    </row>
    <row r="22" spans="2:15" ht="14" customHeight="1">
      <c r="B22" s="91" t="s">
        <v>693</v>
      </c>
      <c r="O22" s="7">
        <f>ROW()</f>
        <v>22</v>
      </c>
    </row>
    <row r="23" spans="2:15" ht="14" customHeight="1">
      <c r="B23" t="s">
        <v>694</v>
      </c>
      <c r="H23">
        <f>12/(12+4)</f>
        <v>0.75</v>
      </c>
      <c r="O23" s="7">
        <f>ROW()</f>
        <v>23</v>
      </c>
    </row>
    <row r="24" spans="2:15" ht="14" customHeight="1">
      <c r="B24" s="91" t="s">
        <v>696</v>
      </c>
      <c r="O24" s="7">
        <f>ROW()</f>
        <v>24</v>
      </c>
    </row>
    <row r="25" spans="2:15" ht="14" customHeight="1">
      <c r="B25" s="32" t="s">
        <v>695</v>
      </c>
      <c r="H25" s="21">
        <f>H23*H13</f>
        <v>2.75</v>
      </c>
      <c r="O25" s="7">
        <f>ROW()</f>
        <v>25</v>
      </c>
    </row>
    <row r="26" spans="2:15" ht="14" customHeight="1">
      <c r="B26" s="91" t="str">
        <f>CONCATENATE("Product of Rows ",O13, " and ",O23, ".")</f>
        <v>Product of Rows 13 and 23.</v>
      </c>
      <c r="O26" s="7">
        <f>ROW()</f>
        <v>26</v>
      </c>
    </row>
    <row r="27" spans="2:15" ht="14" customHeight="1">
      <c r="B27" s="32" t="s">
        <v>697</v>
      </c>
      <c r="H27" s="516">
        <f>H21*H25</f>
        <v>116.27000000000001</v>
      </c>
      <c r="O27" s="7">
        <f>ROW()</f>
        <v>27</v>
      </c>
    </row>
    <row r="28" spans="2:15" ht="14" customHeight="1">
      <c r="B28" s="91" t="str">
        <f>CONCATENATE("Product of Rows ",O21, " and ",O25, ".")</f>
        <v>Product of Rows 21 and 25.</v>
      </c>
      <c r="O28" s="7">
        <f>ROW()</f>
        <v>28</v>
      </c>
    </row>
    <row r="29" spans="2:15" ht="14" customHeight="1">
      <c r="B29" s="32" t="s">
        <v>698</v>
      </c>
      <c r="H29" s="516">
        <f>1000*H27/Energy!D42</f>
        <v>112.99319727891158</v>
      </c>
      <c r="O29" s="7">
        <f>ROW()</f>
        <v>29</v>
      </c>
    </row>
    <row r="30" spans="2:15" ht="14" customHeight="1">
      <c r="B30" s="91" t="str">
        <f>CONCATENATE("Row ",O27, " divided by btu per mcf in 'Energy' tab, Cell D",Energy!Q42, ".")</f>
        <v>Row 27 divided by btu per mcf in 'Energy' tab, Cell D42.</v>
      </c>
      <c r="O30" s="7">
        <f>ROW()</f>
        <v>30</v>
      </c>
    </row>
    <row r="31" spans="2:15" ht="14" customHeight="1">
      <c r="B31" s="32" t="s">
        <v>700</v>
      </c>
      <c r="H31" s="516">
        <f>H29*1000/H14</f>
        <v>51.244080398599358</v>
      </c>
      <c r="O31" s="7">
        <f>ROW()</f>
        <v>31</v>
      </c>
    </row>
    <row r="32" spans="2:15" ht="14" customHeight="1">
      <c r="B32" s="91" t="str">
        <f>CONCATENATE("Row ",O29, " divided by Row ",7, ".")</f>
        <v>Row 29 divided by Row 7.</v>
      </c>
      <c r="O32" s="7">
        <f>ROW()</f>
        <v>32</v>
      </c>
    </row>
    <row r="33" spans="2:15" ht="14" customHeight="1">
      <c r="B33" s="91"/>
      <c r="H33" s="798" t="s">
        <v>716</v>
      </c>
      <c r="I33" s="798" t="s">
        <v>718</v>
      </c>
      <c r="J33" s="798" t="s">
        <v>717</v>
      </c>
      <c r="O33" s="7">
        <f>ROW()</f>
        <v>33</v>
      </c>
    </row>
    <row r="34" spans="2:15" ht="14" customHeight="1">
      <c r="B34" s="8" t="s">
        <v>715</v>
      </c>
      <c r="H34" s="911"/>
      <c r="I34" s="911"/>
      <c r="J34" s="911"/>
      <c r="O34" s="7">
        <f>ROW()</f>
        <v>34</v>
      </c>
    </row>
    <row r="35" spans="2:15" ht="14" customHeight="1">
      <c r="B35" s="32" t="s">
        <v>108</v>
      </c>
      <c r="H35" s="21">
        <f>'Personal Ground Travel'!K28</f>
        <v>19.570435014151581</v>
      </c>
      <c r="I35">
        <v>5.2530000000000001</v>
      </c>
      <c r="J35" s="516">
        <f>H35*$H$17/I35</f>
        <v>156.47406636100635</v>
      </c>
      <c r="O35" s="7">
        <f>ROW()</f>
        <v>35</v>
      </c>
    </row>
    <row r="36" spans="2:15" ht="14" customHeight="1">
      <c r="B36" s="32" t="s">
        <v>712</v>
      </c>
      <c r="H36" s="21">
        <f>Freight!K28</f>
        <v>22.456286026151631</v>
      </c>
      <c r="I36">
        <v>5.8250000000000002</v>
      </c>
      <c r="J36" s="516">
        <f>H36*$H$17/I36</f>
        <v>161.91656877225211</v>
      </c>
      <c r="O36" s="7">
        <f>ROW()</f>
        <v>36</v>
      </c>
    </row>
    <row r="37" spans="2:15" ht="14" customHeight="1">
      <c r="B37" s="32" t="s">
        <v>713</v>
      </c>
      <c r="H37" s="21">
        <f>Aviation!K28</f>
        <v>21.098238491092783</v>
      </c>
      <c r="I37">
        <v>5.048</v>
      </c>
      <c r="J37" s="516">
        <f>H37*$H$17/I37</f>
        <v>175.54001914142174</v>
      </c>
      <c r="O37" s="7">
        <f>ROW()</f>
        <v>37</v>
      </c>
    </row>
    <row r="38" spans="2:15" ht="14" customHeight="1">
      <c r="B38" s="32" t="s">
        <v>714</v>
      </c>
      <c r="H38" s="21">
        <f>AVERAGE(H35:H37)</f>
        <v>21.041653177132002</v>
      </c>
      <c r="I38" s="23">
        <f>AVERAGE(I35:I37)</f>
        <v>5.3753333333333329</v>
      </c>
      <c r="J38" s="516">
        <f>AVERAGE(J35:J37)</f>
        <v>164.64355142489339</v>
      </c>
      <c r="O38" s="7">
        <f>ROW()</f>
        <v>38</v>
      </c>
    </row>
    <row r="39" spans="2:15" ht="14" customHeight="1">
      <c r="B39" s="32" t="s">
        <v>719</v>
      </c>
      <c r="H39" s="912">
        <v>0.98</v>
      </c>
      <c r="I39" s="912"/>
      <c r="J39" s="912"/>
      <c r="O39" s="7">
        <f>ROW()</f>
        <v>39</v>
      </c>
    </row>
    <row r="40" spans="2:15" ht="14" customHeight="1">
      <c r="B40" s="32"/>
      <c r="H40" s="522"/>
      <c r="I40" s="522"/>
      <c r="J40" s="516">
        <f>J38*H39</f>
        <v>161.35068039639552</v>
      </c>
      <c r="O40" s="7">
        <f>ROW()</f>
        <v>40</v>
      </c>
    </row>
    <row r="41" spans="2:15" ht="14" customHeight="1">
      <c r="B41" s="91" t="str">
        <f>CONCATENATE("Pounds CO2 per gallon are from respective tabs, Row ",Freight!AP28, ". Heat contents per gallon of fuel are from mer_dataTA3.xls.")</f>
        <v>Pounds CO2 per gallon are from respective tabs, Row 28. Heat contents per gallon of fuel are from mer_dataTA3.xls.</v>
      </c>
      <c r="H41" s="21"/>
      <c r="J41" s="21"/>
      <c r="O41" s="7">
        <f>ROW()</f>
        <v>41</v>
      </c>
    </row>
    <row r="42" spans="2:15" ht="14" customHeight="1">
      <c r="O42" s="7"/>
    </row>
    <row r="43" spans="2:15" ht="14" customHeight="1">
      <c r="B43" s="3"/>
      <c r="O43" s="7"/>
    </row>
    <row r="52" spans="2:16" ht="14" customHeight="1">
      <c r="C52" s="182"/>
      <c r="D52" s="182"/>
      <c r="E52" s="182"/>
      <c r="O52" s="7"/>
      <c r="P52" s="79"/>
    </row>
    <row r="53" spans="2:16" ht="14" customHeight="1">
      <c r="B53" s="182"/>
      <c r="C53" s="182"/>
      <c r="D53" s="182"/>
      <c r="E53" s="182"/>
      <c r="F53" s="182"/>
      <c r="G53" s="182"/>
      <c r="O53" s="7"/>
      <c r="P53" s="79"/>
    </row>
    <row r="54" spans="2:16" ht="14" customHeight="1">
      <c r="B54" s="182"/>
      <c r="C54" s="182"/>
      <c r="D54" s="182"/>
      <c r="E54" s="182"/>
      <c r="F54" s="182"/>
      <c r="G54" s="182"/>
      <c r="O54" s="7"/>
      <c r="P54" s="79"/>
    </row>
  </sheetData>
  <mergeCells count="5">
    <mergeCell ref="I6:N10"/>
    <mergeCell ref="H33:H34"/>
    <mergeCell ref="I33:I34"/>
    <mergeCell ref="J33:J34"/>
    <mergeCell ref="H39:J39"/>
  </mergeCells>
  <pageMargins left="0.7" right="0.7" top="0.75" bottom="0.75" header="0.3" footer="0.3"/>
  <pageSetup orientation="portrait" verticalDpi="0"/>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131"/>
  <sheetViews>
    <sheetView workbookViewId="0"/>
  </sheetViews>
  <sheetFormatPr baseColWidth="10" defaultColWidth="8.83203125" defaultRowHeight="14" customHeight="1" x14ac:dyDescent="0"/>
  <cols>
    <col min="1" max="1" width="2.6640625" customWidth="1"/>
    <col min="2" max="16" width="9.1640625" customWidth="1"/>
    <col min="17" max="17" width="2" customWidth="1"/>
    <col min="19" max="19" width="9.1640625" customWidth="1"/>
  </cols>
  <sheetData>
    <row r="1" spans="2:17" ht="14" customHeight="1">
      <c r="B1" s="59" t="s">
        <v>10</v>
      </c>
      <c r="N1" s="242">
        <f>Summary!F3</f>
        <v>41674</v>
      </c>
      <c r="Q1" s="7">
        <f>ROW()</f>
        <v>1</v>
      </c>
    </row>
    <row r="2" spans="2:17" ht="14" customHeight="1">
      <c r="Q2" s="7">
        <f>ROW()</f>
        <v>2</v>
      </c>
    </row>
    <row r="3" spans="2:17" ht="14" customHeight="1">
      <c r="Q3" s="7">
        <f>ROW()</f>
        <v>3</v>
      </c>
    </row>
    <row r="4" spans="2:17" ht="14" customHeight="1">
      <c r="Q4" s="7">
        <f>ROW()</f>
        <v>4</v>
      </c>
    </row>
    <row r="5" spans="2:17" ht="14" customHeight="1">
      <c r="B5" s="397" t="s">
        <v>546</v>
      </c>
      <c r="C5" s="398"/>
      <c r="D5" s="398"/>
      <c r="E5" s="398"/>
      <c r="F5" s="398"/>
      <c r="G5" s="398"/>
      <c r="H5" s="398"/>
      <c r="I5" s="398"/>
      <c r="J5" s="398"/>
      <c r="K5" s="399"/>
      <c r="Q5" s="7">
        <f>ROW()</f>
        <v>5</v>
      </c>
    </row>
    <row r="6" spans="2:17" ht="14" customHeight="1">
      <c r="Q6" s="7">
        <f>ROW()</f>
        <v>6</v>
      </c>
    </row>
    <row r="7" spans="2:17" ht="14" customHeight="1">
      <c r="G7" s="919" t="s">
        <v>23</v>
      </c>
      <c r="H7" s="902"/>
      <c r="I7" s="902"/>
      <c r="J7" s="902"/>
      <c r="K7" s="902"/>
      <c r="L7" s="902"/>
      <c r="M7" s="903"/>
      <c r="N7" s="394" t="s">
        <v>547</v>
      </c>
      <c r="O7" s="153"/>
      <c r="P7" s="153"/>
      <c r="Q7" s="7">
        <f>ROW()</f>
        <v>7</v>
      </c>
    </row>
    <row r="8" spans="2:17" ht="14" customHeight="1">
      <c r="G8" s="395"/>
      <c r="H8" s="395"/>
      <c r="I8" s="395"/>
      <c r="J8" s="395"/>
      <c r="K8" s="395"/>
      <c r="L8" s="395"/>
      <c r="M8" s="395"/>
      <c r="N8" s="396"/>
      <c r="Q8" s="7">
        <f>ROW()</f>
        <v>8</v>
      </c>
    </row>
    <row r="9" spans="2:17" ht="14" customHeight="1">
      <c r="G9" s="80">
        <v>2005</v>
      </c>
      <c r="H9" s="80">
        <v>2006</v>
      </c>
      <c r="I9" s="80">
        <v>2007</v>
      </c>
      <c r="J9" s="80">
        <v>2008</v>
      </c>
      <c r="K9" s="80">
        <v>2009</v>
      </c>
      <c r="L9" s="80">
        <v>2010</v>
      </c>
      <c r="M9" s="80">
        <v>2011</v>
      </c>
      <c r="N9" s="80">
        <v>2012</v>
      </c>
      <c r="P9" s="911"/>
      <c r="Q9" s="7">
        <f>ROW()</f>
        <v>9</v>
      </c>
    </row>
    <row r="10" spans="2:17" ht="14" customHeight="1">
      <c r="O10" s="121"/>
      <c r="P10" s="911"/>
      <c r="Q10" s="7">
        <f>ROW()</f>
        <v>10</v>
      </c>
    </row>
    <row r="11" spans="2:17" ht="14" customHeight="1">
      <c r="B11" s="133" t="s">
        <v>132</v>
      </c>
      <c r="C11" s="28"/>
      <c r="D11" s="28"/>
      <c r="E11" s="28"/>
      <c r="F11" s="28"/>
      <c r="G11" s="28"/>
      <c r="H11" s="28"/>
      <c r="I11" s="28"/>
      <c r="J11" s="28"/>
      <c r="Q11" s="7">
        <f>ROW()</f>
        <v>11</v>
      </c>
    </row>
    <row r="12" spans="2:17" ht="14" customHeight="1">
      <c r="B12" s="768" t="s">
        <v>544</v>
      </c>
      <c r="C12" s="738"/>
      <c r="D12" s="738"/>
      <c r="E12" s="738"/>
      <c r="F12" s="738"/>
      <c r="G12" s="738"/>
      <c r="H12" s="738"/>
      <c r="I12" s="738"/>
      <c r="J12" s="738"/>
      <c r="K12" s="738"/>
      <c r="L12" s="738"/>
      <c r="M12" s="738"/>
      <c r="Q12" s="7">
        <f>ROW()</f>
        <v>12</v>
      </c>
    </row>
    <row r="13" spans="2:17" ht="14" customHeight="1">
      <c r="B13" s="738"/>
      <c r="C13" s="738"/>
      <c r="D13" s="738"/>
      <c r="E13" s="738"/>
      <c r="F13" s="738"/>
      <c r="G13" s="738"/>
      <c r="H13" s="738"/>
      <c r="I13" s="738"/>
      <c r="J13" s="738"/>
      <c r="K13" s="738"/>
      <c r="L13" s="738"/>
      <c r="M13" s="738"/>
      <c r="Q13" s="7">
        <f>ROW()</f>
        <v>13</v>
      </c>
    </row>
    <row r="14" spans="2:17" ht="14" customHeight="1">
      <c r="B14" s="738"/>
      <c r="C14" s="738"/>
      <c r="D14" s="738"/>
      <c r="E14" s="738"/>
      <c r="F14" s="738"/>
      <c r="G14" s="738"/>
      <c r="H14" s="738"/>
      <c r="I14" s="738"/>
      <c r="J14" s="738"/>
      <c r="K14" s="738"/>
      <c r="L14" s="738"/>
      <c r="M14" s="738"/>
      <c r="Q14" s="7">
        <f>ROW()</f>
        <v>14</v>
      </c>
    </row>
    <row r="15" spans="2:17" ht="14" customHeight="1">
      <c r="G15" s="80">
        <v>2005</v>
      </c>
      <c r="H15" s="387">
        <v>2006</v>
      </c>
      <c r="I15" s="80">
        <v>2007</v>
      </c>
      <c r="J15" s="80">
        <v>2008</v>
      </c>
      <c r="K15" s="80">
        <v>2009</v>
      </c>
      <c r="L15" s="80">
        <v>2010</v>
      </c>
      <c r="M15" s="80">
        <v>2011</v>
      </c>
      <c r="N15" s="80">
        <v>2012</v>
      </c>
      <c r="Q15" s="7">
        <f>ROW()</f>
        <v>15</v>
      </c>
    </row>
    <row r="16" spans="2:17" ht="14" customHeight="1">
      <c r="B16" s="153" t="s">
        <v>159</v>
      </c>
      <c r="G16" s="22">
        <v>6089.7</v>
      </c>
      <c r="H16" s="404">
        <v>6019</v>
      </c>
      <c r="I16" s="22">
        <v>6123.4</v>
      </c>
      <c r="J16" s="22">
        <v>5935.7</v>
      </c>
      <c r="K16" s="22">
        <v>5515</v>
      </c>
      <c r="L16" s="22">
        <v>5711.1</v>
      </c>
      <c r="M16" s="22">
        <v>5604.9</v>
      </c>
      <c r="N16" s="22"/>
      <c r="Q16" s="7">
        <f>ROW()</f>
        <v>16</v>
      </c>
    </row>
    <row r="17" spans="2:27" ht="14" customHeight="1">
      <c r="B17" s="153" t="s">
        <v>160</v>
      </c>
      <c r="G17" s="22">
        <v>5729</v>
      </c>
      <c r="H17" s="404">
        <v>5653</v>
      </c>
      <c r="I17" s="22">
        <v>5762.6</v>
      </c>
      <c r="J17" s="22">
        <v>5581.5</v>
      </c>
      <c r="K17" s="22">
        <v>5219.3999999999996</v>
      </c>
      <c r="L17" s="22">
        <v>5382.9</v>
      </c>
      <c r="M17" s="22">
        <v>5269.3</v>
      </c>
      <c r="N17" s="22"/>
      <c r="Q17" s="7">
        <f>ROW()</f>
        <v>17</v>
      </c>
    </row>
    <row r="18" spans="2:27" ht="14" customHeight="1">
      <c r="B18" s="153" t="s">
        <v>161</v>
      </c>
      <c r="G18" s="22">
        <v>117.4</v>
      </c>
      <c r="H18" s="404">
        <v>143.80000000000001</v>
      </c>
      <c r="I18" s="22">
        <v>134.9</v>
      </c>
      <c r="J18" s="22">
        <v>139.5</v>
      </c>
      <c r="K18" s="22">
        <v>124</v>
      </c>
      <c r="L18" s="22">
        <v>132.80000000000001</v>
      </c>
      <c r="M18" s="22">
        <v>130.6</v>
      </c>
      <c r="N18" s="22"/>
      <c r="Q18" s="7">
        <f>ROW()</f>
        <v>18</v>
      </c>
    </row>
    <row r="19" spans="2:27" ht="14" customHeight="1">
      <c r="B19" s="154" t="str">
        <f>CONCATENATE("20 misc. incl Iron&amp;Steel, Cement (Row ",Q16, " less ",Q17, " and ",Q18,")")</f>
        <v>20 misc. incl Iron&amp;Steel, Cement (Row 16 less 17 and 18)</v>
      </c>
      <c r="G19" s="22">
        <f t="shared" ref="G19:M19" si="0">G16-G17-G18</f>
        <v>243.29999999999981</v>
      </c>
      <c r="H19" s="404">
        <f t="shared" si="0"/>
        <v>222.2</v>
      </c>
      <c r="I19" s="22">
        <f t="shared" si="0"/>
        <v>225.89999999999927</v>
      </c>
      <c r="J19" s="22">
        <f t="shared" si="0"/>
        <v>214.69999999999982</v>
      </c>
      <c r="K19" s="22">
        <f t="shared" si="0"/>
        <v>171.60000000000036</v>
      </c>
      <c r="L19" s="22">
        <f t="shared" si="0"/>
        <v>195.40000000000072</v>
      </c>
      <c r="M19" s="22">
        <f t="shared" si="0"/>
        <v>204.99999999999946</v>
      </c>
      <c r="N19" s="22"/>
      <c r="Q19" s="7">
        <f>ROW()</f>
        <v>19</v>
      </c>
    </row>
    <row r="20" spans="2:27" ht="14" customHeight="1">
      <c r="B20" s="153" t="s">
        <v>385</v>
      </c>
      <c r="G20" s="22">
        <v>134.30000000000001</v>
      </c>
      <c r="H20" s="404">
        <v>128.4</v>
      </c>
      <c r="I20" s="22">
        <v>122</v>
      </c>
      <c r="J20" s="22">
        <v>124.9</v>
      </c>
      <c r="K20" s="22">
        <v>110.7</v>
      </c>
      <c r="L20" s="22">
        <v>126.9</v>
      </c>
      <c r="M20" s="22">
        <v>116.2</v>
      </c>
      <c r="N20" s="22"/>
      <c r="Q20" s="7">
        <f>ROW()</f>
        <v>20</v>
      </c>
      <c r="W20" s="141"/>
      <c r="X20" s="141"/>
      <c r="Y20" s="141"/>
      <c r="Z20" s="141"/>
      <c r="AA20" s="141"/>
    </row>
    <row r="21" spans="2:27" s="8" customFormat="1" ht="14" customHeight="1">
      <c r="B21" s="155" t="str">
        <f>CONCATENATE("CO2 from FF Comb + IBF, i.e., Rows ",Q17, " + ",Q20, )</f>
        <v>CO2 from FF Comb + IBF, i.e., Rows 17 + 20</v>
      </c>
      <c r="G21" s="87">
        <f t="shared" ref="G21:M21" si="1">G17+G20</f>
        <v>5863.3</v>
      </c>
      <c r="H21" s="405">
        <f t="shared" si="1"/>
        <v>5781.4</v>
      </c>
      <c r="I21" s="87">
        <f t="shared" si="1"/>
        <v>5884.6</v>
      </c>
      <c r="J21" s="87">
        <f t="shared" si="1"/>
        <v>5706.4</v>
      </c>
      <c r="K21" s="87">
        <f t="shared" si="1"/>
        <v>5330.0999999999995</v>
      </c>
      <c r="L21" s="87">
        <f t="shared" si="1"/>
        <v>5509.7999999999993</v>
      </c>
      <c r="M21" s="87">
        <f t="shared" si="1"/>
        <v>5385.5</v>
      </c>
      <c r="N21" s="87"/>
      <c r="Q21" s="7">
        <f>ROW()</f>
        <v>21</v>
      </c>
      <c r="R21" s="142"/>
      <c r="S21" s="142"/>
      <c r="T21" s="142"/>
      <c r="U21" s="142"/>
      <c r="V21" s="142"/>
      <c r="W21" s="142"/>
      <c r="X21" s="142"/>
      <c r="Y21" s="142"/>
      <c r="Z21" s="142"/>
      <c r="AA21" s="142"/>
    </row>
    <row r="22" spans="2:27" s="8" customFormat="1" ht="14" customHeight="1">
      <c r="B22" s="155"/>
      <c r="Q22" s="7">
        <f>ROW()</f>
        <v>22</v>
      </c>
      <c r="R22" s="142"/>
      <c r="S22" s="142"/>
      <c r="T22" s="142"/>
      <c r="U22" s="142"/>
      <c r="V22" s="142"/>
      <c r="W22" s="142"/>
      <c r="X22" s="142"/>
      <c r="Y22" s="142"/>
      <c r="Z22" s="142"/>
      <c r="AA22" s="142"/>
    </row>
    <row r="23" spans="2:27" ht="14" customHeight="1">
      <c r="B23" s="133"/>
      <c r="G23" s="80">
        <v>2005</v>
      </c>
      <c r="H23" s="387">
        <v>2006</v>
      </c>
      <c r="I23" s="80">
        <v>2007</v>
      </c>
      <c r="J23" s="80">
        <v>2008</v>
      </c>
      <c r="K23" s="80">
        <v>2009</v>
      </c>
      <c r="L23" s="80">
        <v>2010</v>
      </c>
      <c r="M23" s="80">
        <v>2011</v>
      </c>
      <c r="N23" s="80">
        <v>2012</v>
      </c>
      <c r="Q23" s="7">
        <f>ROW()</f>
        <v>23</v>
      </c>
      <c r="R23" s="141"/>
      <c r="S23" s="141"/>
      <c r="T23" s="141"/>
      <c r="U23" s="141"/>
      <c r="V23" s="141"/>
      <c r="W23" s="141"/>
      <c r="X23" s="141"/>
      <c r="Y23" s="141"/>
      <c r="Z23" s="141"/>
      <c r="AA23" s="141"/>
    </row>
    <row r="24" spans="2:27" ht="14" customHeight="1">
      <c r="B24" s="133"/>
      <c r="G24" s="927" t="s">
        <v>392</v>
      </c>
      <c r="H24" s="928"/>
      <c r="I24" s="928"/>
      <c r="J24" s="928"/>
      <c r="K24" s="928"/>
      <c r="L24" s="929"/>
      <c r="Q24" s="7">
        <f>ROW()</f>
        <v>24</v>
      </c>
      <c r="R24" s="141"/>
      <c r="S24" s="141"/>
      <c r="T24" s="141"/>
      <c r="U24" s="141"/>
      <c r="V24" s="141"/>
      <c r="W24" s="141"/>
      <c r="X24" s="141"/>
      <c r="Y24" s="141"/>
      <c r="Z24" s="141"/>
      <c r="AA24" s="141"/>
    </row>
    <row r="25" spans="2:27" ht="14" customHeight="1">
      <c r="B25" s="8" t="s">
        <v>386</v>
      </c>
      <c r="G25" s="408">
        <v>2402.1</v>
      </c>
      <c r="H25" s="409">
        <v>2346.4</v>
      </c>
      <c r="I25" s="409">
        <v>2412.8000000000002</v>
      </c>
      <c r="J25" s="409">
        <v>2360.9</v>
      </c>
      <c r="K25" s="409">
        <v>2146.4</v>
      </c>
      <c r="L25" s="410">
        <v>2259.1999999999998</v>
      </c>
      <c r="M25" s="411">
        <v>2158.5</v>
      </c>
      <c r="N25" s="22"/>
      <c r="Q25" s="7">
        <f>ROW()</f>
        <v>25</v>
      </c>
      <c r="R25" s="141"/>
      <c r="S25" s="141"/>
      <c r="T25" s="141"/>
      <c r="U25" s="141"/>
      <c r="V25" s="141"/>
      <c r="W25" s="141"/>
      <c r="X25" s="141"/>
      <c r="Y25" s="141"/>
      <c r="Z25" s="141"/>
      <c r="AA25" s="141"/>
    </row>
    <row r="26" spans="2:27" ht="14" customHeight="1">
      <c r="B26" s="134" t="s">
        <v>134</v>
      </c>
      <c r="G26">
        <v>1983.8</v>
      </c>
      <c r="H26" s="389">
        <v>1953.7</v>
      </c>
      <c r="I26">
        <v>1987.3</v>
      </c>
      <c r="J26">
        <v>1959.4</v>
      </c>
      <c r="K26">
        <v>1740.9</v>
      </c>
      <c r="L26" s="7">
        <v>1827.6</v>
      </c>
      <c r="M26" s="319">
        <v>1722.7</v>
      </c>
      <c r="N26" s="297">
        <f>M26*Energy!N12/Energy!M12</f>
        <v>1507.084945381868</v>
      </c>
      <c r="O26" s="920" t="str">
        <f>CONCATENATE("Gray cells were prorated from 2012 by ratios of 2012 to 2011 fuel burns in Rows ",Energy!Q12, "-",Energy!Q14, " of 'Energy' tab.")</f>
        <v>Gray cells were prorated from 2012 by ratios of 2012 to 2011 fuel burns in Rows 12-14 of 'Energy' tab.</v>
      </c>
      <c r="Q26" s="7">
        <f>ROW()</f>
        <v>26</v>
      </c>
      <c r="R26" s="141"/>
      <c r="S26" s="141"/>
      <c r="T26" s="141"/>
      <c r="U26" s="141"/>
      <c r="V26" s="141"/>
      <c r="W26" s="141"/>
      <c r="X26" s="141"/>
      <c r="Y26" s="141"/>
      <c r="Z26" s="141"/>
      <c r="AA26" s="141"/>
    </row>
    <row r="27" spans="2:27" ht="14" customHeight="1">
      <c r="B27" s="90" t="s">
        <v>391</v>
      </c>
      <c r="C27" s="3"/>
      <c r="D27" s="3"/>
      <c r="E27" s="3"/>
      <c r="F27" s="3"/>
      <c r="G27" s="272">
        <f>G26*Parameters!$H$14/Energy!G12</f>
        <v>2.1731520071062604</v>
      </c>
      <c r="H27" s="390">
        <f>H26*Parameters!$H$14/Energy!H12</f>
        <v>2.1642224031919444</v>
      </c>
      <c r="I27" s="272">
        <f>I26*Parameters!$H$14/Energy!I12</f>
        <v>2.1731182847615851</v>
      </c>
      <c r="J27" s="272">
        <f>J26*Parameters!$H$14/Energy!J12</f>
        <v>2.1756845034351016</v>
      </c>
      <c r="K27" s="272">
        <f>K26*Parameters!$H$14/Energy!K12</f>
        <v>2.1861582107575201</v>
      </c>
      <c r="L27" s="272">
        <f>L26*Parameters!$H$14/Energy!L12</f>
        <v>2.1814968907764167</v>
      </c>
      <c r="M27" s="272">
        <f>M26*Parameters!$H$14/Energy!M12</f>
        <v>2.1902953030263421</v>
      </c>
      <c r="O27" s="921"/>
      <c r="Q27" s="7">
        <f>ROW()</f>
        <v>27</v>
      </c>
      <c r="Z27" s="3"/>
      <c r="AA27" s="3"/>
    </row>
    <row r="28" spans="2:27" ht="14" customHeight="1">
      <c r="B28" s="90" t="s">
        <v>389</v>
      </c>
      <c r="C28" s="3"/>
      <c r="D28" s="3"/>
      <c r="E28" s="3"/>
      <c r="F28" s="3"/>
      <c r="G28" s="3"/>
      <c r="H28" s="391">
        <f t="shared" ref="H28:M28" si="2">H27/G27-1</f>
        <v>-4.1090562855777835E-3</v>
      </c>
      <c r="I28" s="273">
        <f t="shared" si="2"/>
        <v>4.1104285569359966E-3</v>
      </c>
      <c r="J28" s="273">
        <f t="shared" si="2"/>
        <v>1.1808923110681047E-3</v>
      </c>
      <c r="K28" s="273">
        <f t="shared" si="2"/>
        <v>4.8139825907120848E-3</v>
      </c>
      <c r="L28" s="273">
        <f t="shared" si="2"/>
        <v>-2.1321970011897173E-3</v>
      </c>
      <c r="M28" s="273">
        <f t="shared" si="2"/>
        <v>4.0331995370361806E-3</v>
      </c>
      <c r="O28" s="921"/>
      <c r="Q28" s="7">
        <f>ROW()</f>
        <v>28</v>
      </c>
      <c r="Z28" s="3"/>
      <c r="AA28" s="3"/>
    </row>
    <row r="29" spans="2:27" ht="14" customHeight="1">
      <c r="B29" s="90" t="s">
        <v>390</v>
      </c>
      <c r="C29" s="3"/>
      <c r="D29" s="3"/>
      <c r="E29" s="3"/>
      <c r="F29" s="3"/>
      <c r="G29" s="3"/>
      <c r="H29" s="391">
        <f t="shared" ref="H29:M29" si="3">(H27/$G$27)^(1/(H15-$G$15))-1</f>
        <v>-4.1090562855777835E-3</v>
      </c>
      <c r="I29" s="273">
        <f t="shared" si="3"/>
        <v>-7.758885570252616E-6</v>
      </c>
      <c r="J29" s="273">
        <f t="shared" si="3"/>
        <v>3.8830129438305327E-4</v>
      </c>
      <c r="K29" s="273">
        <f t="shared" si="3"/>
        <v>1.4928908048146283E-3</v>
      </c>
      <c r="L29" s="273">
        <f t="shared" si="3"/>
        <v>7.6682122420823617E-4</v>
      </c>
      <c r="M29" s="273">
        <f t="shared" si="3"/>
        <v>1.3104787321263078E-3</v>
      </c>
      <c r="O29" s="921"/>
      <c r="Q29" s="7">
        <f>ROW()</f>
        <v>29</v>
      </c>
      <c r="Z29" s="3"/>
      <c r="AA29" s="3"/>
    </row>
    <row r="30" spans="2:27" ht="14" customHeight="1">
      <c r="B30" s="134" t="s">
        <v>135</v>
      </c>
      <c r="G30">
        <v>318.8</v>
      </c>
      <c r="H30" s="388">
        <v>338</v>
      </c>
      <c r="I30">
        <v>371.3</v>
      </c>
      <c r="J30">
        <v>361.9</v>
      </c>
      <c r="K30">
        <v>372.2</v>
      </c>
      <c r="L30" s="7">
        <v>399</v>
      </c>
      <c r="M30" s="319">
        <v>408.7</v>
      </c>
      <c r="N30" s="297">
        <f>M30*Energy!N14/Energy!M14</f>
        <v>494.7796405428972</v>
      </c>
      <c r="O30" s="921"/>
      <c r="Q30" s="7">
        <f>ROW()</f>
        <v>30</v>
      </c>
    </row>
    <row r="31" spans="2:27" ht="14" customHeight="1">
      <c r="B31" s="90" t="s">
        <v>391</v>
      </c>
      <c r="G31" s="272">
        <f>G30*Parameters!$H$14/Energy!G14</f>
        <v>0.92377260302775444</v>
      </c>
      <c r="H31" s="390">
        <f>H30*Parameters!$H$14/Energy!H14</f>
        <v>0.91285224529390363</v>
      </c>
      <c r="I31" s="272">
        <f>I30*Parameters!$H$14/Energy!I14</f>
        <v>0.91314480420258981</v>
      </c>
      <c r="J31" s="272">
        <f>J30*Parameters!$H$14/Energy!J14</f>
        <v>0.90374522487101661</v>
      </c>
      <c r="K31" s="272">
        <f>K30*Parameters!$H$14/Energy!K14</f>
        <v>0.89111834717920035</v>
      </c>
      <c r="L31" s="272">
        <f>L30*Parameters!$H$14/Energy!L14</f>
        <v>0.89609069058068669</v>
      </c>
      <c r="M31" s="272">
        <f>M30*Parameters!$H$14/Energy!M14</f>
        <v>0.88647271576478948</v>
      </c>
      <c r="O31" s="921"/>
      <c r="Q31" s="7">
        <f>ROW()</f>
        <v>31</v>
      </c>
    </row>
    <row r="32" spans="2:27" ht="14" customHeight="1">
      <c r="B32" s="90" t="s">
        <v>389</v>
      </c>
      <c r="H32" s="391">
        <f t="shared" ref="H32:M32" si="4">H31/G31-1</f>
        <v>-1.1821478249147366E-2</v>
      </c>
      <c r="I32" s="273">
        <f t="shared" si="4"/>
        <v>3.2048878687040983E-4</v>
      </c>
      <c r="J32" s="273">
        <f t="shared" si="4"/>
        <v>-1.0293635016388691E-2</v>
      </c>
      <c r="K32" s="273">
        <f t="shared" si="4"/>
        <v>-1.3971722720436341E-2</v>
      </c>
      <c r="L32" s="273">
        <f t="shared" si="4"/>
        <v>5.5798911752025226E-3</v>
      </c>
      <c r="M32" s="273">
        <f t="shared" si="4"/>
        <v>-1.0733260502532982E-2</v>
      </c>
      <c r="O32" s="921"/>
      <c r="Q32" s="7">
        <f>ROW()</f>
        <v>32</v>
      </c>
    </row>
    <row r="33" spans="2:27" ht="14" customHeight="1">
      <c r="B33" s="90" t="s">
        <v>390</v>
      </c>
      <c r="H33" s="391">
        <f t="shared" ref="H33:M33" si="5">(H31/$G$31)^(1/(H15-$G$15))-1</f>
        <v>-1.1821478249147366E-2</v>
      </c>
      <c r="I33" s="273">
        <f t="shared" si="5"/>
        <v>-5.7690299098001052E-3</v>
      </c>
      <c r="J33" s="273">
        <f t="shared" si="5"/>
        <v>-7.2795252850977876E-3</v>
      </c>
      <c r="K33" s="273">
        <f t="shared" si="5"/>
        <v>-8.956820782722863E-3</v>
      </c>
      <c r="L33" s="273">
        <f t="shared" si="5"/>
        <v>-6.0663878556330708E-3</v>
      </c>
      <c r="M33" s="273">
        <f t="shared" si="5"/>
        <v>-6.8457260548703269E-3</v>
      </c>
      <c r="O33" s="921"/>
      <c r="Q33" s="7">
        <f>ROW()</f>
        <v>33</v>
      </c>
    </row>
    <row r="34" spans="2:27" ht="14" customHeight="1">
      <c r="B34" s="134" t="s">
        <v>136</v>
      </c>
      <c r="G34">
        <v>99.2</v>
      </c>
      <c r="H34" s="389">
        <v>54.4</v>
      </c>
      <c r="I34">
        <v>53.9</v>
      </c>
      <c r="J34">
        <v>39.200000000000003</v>
      </c>
      <c r="K34" s="7">
        <v>33</v>
      </c>
      <c r="L34" s="7">
        <v>32.200000000000003</v>
      </c>
      <c r="M34" s="319">
        <v>26.6</v>
      </c>
      <c r="N34" s="297">
        <f>M34*Energy!N13/Energy!M13</f>
        <v>21.629715967620118</v>
      </c>
      <c r="O34" s="922"/>
      <c r="Q34" s="7">
        <f>ROW()</f>
        <v>34</v>
      </c>
      <c r="S34" s="271"/>
      <c r="T34" s="271"/>
      <c r="U34" s="271"/>
      <c r="V34" s="271"/>
      <c r="W34" s="271"/>
      <c r="X34" s="271"/>
      <c r="Y34" s="271"/>
      <c r="Z34" s="271"/>
      <c r="AA34" s="271"/>
    </row>
    <row r="35" spans="2:27" ht="14" customHeight="1">
      <c r="B35" s="90" t="s">
        <v>391</v>
      </c>
      <c r="G35" s="272">
        <f>G34*Parameters!$H$14/Energy!G13</f>
        <v>1.7896172597791498</v>
      </c>
      <c r="H35" s="390">
        <f>H34*Parameters!$H$14/Energy!H13</f>
        <v>1.8693891792051835</v>
      </c>
      <c r="I35" s="272">
        <f>I34*Parameters!$H$14/Energy!I13</f>
        <v>1.8079000254613022</v>
      </c>
      <c r="J35" s="272">
        <f>J34*Parameters!$H$14/Energy!J13</f>
        <v>1.8691850711201174</v>
      </c>
      <c r="K35" s="272">
        <f>K34*Parameters!$H$14/Energy!K13</f>
        <v>1.8688113201707961</v>
      </c>
      <c r="L35" s="272">
        <f>L34*Parameters!$H$14/Energy!L13</f>
        <v>1.9157868134905001</v>
      </c>
      <c r="M35" s="272">
        <f>M34*Parameters!$H$14/Energy!M13</f>
        <v>2.0827052691346082</v>
      </c>
      <c r="Q35" s="7">
        <f>ROW()</f>
        <v>35</v>
      </c>
      <c r="R35" s="274"/>
      <c r="S35" s="271"/>
      <c r="T35" s="271"/>
      <c r="U35" s="271"/>
      <c r="V35" s="271"/>
      <c r="W35" s="271"/>
      <c r="X35" s="271"/>
      <c r="Y35" s="271"/>
      <c r="Z35" s="271"/>
      <c r="AA35" s="271"/>
    </row>
    <row r="36" spans="2:27" ht="14" customHeight="1">
      <c r="B36" s="90" t="s">
        <v>389</v>
      </c>
      <c r="H36" s="391">
        <f t="shared" ref="H36:M36" si="6">H35/G35-1</f>
        <v>4.4574849169636499E-2</v>
      </c>
      <c r="I36" s="273">
        <f t="shared" si="6"/>
        <v>-3.2892644521471448E-2</v>
      </c>
      <c r="J36" s="273">
        <f t="shared" si="6"/>
        <v>3.3898470488254784E-2</v>
      </c>
      <c r="K36" s="273">
        <f t="shared" si="6"/>
        <v>-1.9995395592231624E-4</v>
      </c>
      <c r="L36" s="273">
        <f t="shared" si="6"/>
        <v>2.5136562911771465E-2</v>
      </c>
      <c r="M36" s="273">
        <f t="shared" si="6"/>
        <v>8.7127886291266554E-2</v>
      </c>
      <c r="Q36" s="7">
        <f>ROW()</f>
        <v>36</v>
      </c>
      <c r="R36" s="274"/>
      <c r="S36" s="271"/>
      <c r="T36" s="271"/>
      <c r="U36" s="271"/>
      <c r="V36" s="271"/>
      <c r="W36" s="271"/>
      <c r="X36" s="271"/>
      <c r="Y36" s="271"/>
      <c r="Z36" s="271"/>
      <c r="AA36" s="271"/>
    </row>
    <row r="37" spans="2:27" ht="14" customHeight="1">
      <c r="B37" s="90" t="s">
        <v>390</v>
      </c>
      <c r="H37" s="391">
        <f t="shared" ref="H37:M37" si="7">(H35/$G$35)^(1/(H15-$G$15))-1</f>
        <v>4.4574849169636499E-2</v>
      </c>
      <c r="I37" s="273">
        <f t="shared" si="7"/>
        <v>5.0950303229193583E-3</v>
      </c>
      <c r="J37" s="273">
        <f t="shared" si="7"/>
        <v>1.4605895163964933E-2</v>
      </c>
      <c r="K37" s="273">
        <f t="shared" si="7"/>
        <v>1.0884003326318448E-2</v>
      </c>
      <c r="L37" s="273">
        <f t="shared" si="7"/>
        <v>1.3718574042066889E-2</v>
      </c>
      <c r="M37" s="273">
        <f t="shared" si="7"/>
        <v>2.5599835916072733E-2</v>
      </c>
      <c r="Q37" s="7">
        <f>ROW()</f>
        <v>37</v>
      </c>
      <c r="R37" s="274"/>
      <c r="S37" s="271"/>
      <c r="T37" s="271"/>
      <c r="U37" s="271"/>
      <c r="V37" s="271"/>
      <c r="W37" s="271"/>
      <c r="X37" s="271"/>
      <c r="Y37" s="271"/>
      <c r="Z37" s="271"/>
      <c r="AA37" s="271"/>
    </row>
    <row r="38" spans="2:27" ht="14" customHeight="1">
      <c r="B38" s="134" t="s">
        <v>137</v>
      </c>
      <c r="G38">
        <v>12.5</v>
      </c>
      <c r="H38" s="389">
        <v>12.5</v>
      </c>
      <c r="I38">
        <v>12.7</v>
      </c>
      <c r="J38">
        <v>11.9</v>
      </c>
      <c r="K38">
        <v>11.7</v>
      </c>
      <c r="L38" s="7">
        <v>12</v>
      </c>
      <c r="M38" s="7">
        <v>12</v>
      </c>
      <c r="N38" s="402">
        <f>M38</f>
        <v>12</v>
      </c>
      <c r="O38" s="930" t="s">
        <v>542</v>
      </c>
      <c r="Q38" s="7">
        <f>ROW()</f>
        <v>38</v>
      </c>
      <c r="R38" s="271"/>
      <c r="S38" s="271"/>
      <c r="T38" s="271"/>
      <c r="U38" s="271"/>
      <c r="V38" s="271"/>
      <c r="W38" s="271"/>
      <c r="X38" s="271"/>
      <c r="Y38" s="271"/>
      <c r="Z38" s="271"/>
      <c r="AA38" s="271"/>
    </row>
    <row r="39" spans="2:27" ht="14" customHeight="1">
      <c r="B39" s="134" t="s">
        <v>553</v>
      </c>
      <c r="G39">
        <v>0.4</v>
      </c>
      <c r="H39" s="389">
        <v>0.4</v>
      </c>
      <c r="I39">
        <v>0.4</v>
      </c>
      <c r="J39">
        <v>0.4</v>
      </c>
      <c r="K39">
        <v>0.4</v>
      </c>
      <c r="L39">
        <v>0.4</v>
      </c>
      <c r="M39">
        <v>0.4</v>
      </c>
      <c r="N39" s="403">
        <f>M39</f>
        <v>0.4</v>
      </c>
      <c r="O39" s="931"/>
      <c r="Q39" s="7">
        <f>ROW()</f>
        <v>39</v>
      </c>
      <c r="R39" s="102"/>
      <c r="S39" s="120"/>
      <c r="T39" s="120"/>
      <c r="U39" s="120"/>
    </row>
    <row r="40" spans="2:27" ht="14" customHeight="1">
      <c r="B40" s="8" t="s">
        <v>155</v>
      </c>
      <c r="G40" s="406">
        <f t="shared" ref="G40:N40" si="8">G26+G30+G34+G38</f>
        <v>2414.2999999999997</v>
      </c>
      <c r="H40" s="412">
        <f t="shared" si="8"/>
        <v>2358.6</v>
      </c>
      <c r="I40" s="413">
        <f t="shared" si="8"/>
        <v>2425.1999999999998</v>
      </c>
      <c r="J40" s="413">
        <f t="shared" si="8"/>
        <v>2372.4</v>
      </c>
      <c r="K40" s="413">
        <f t="shared" si="8"/>
        <v>2157.7999999999997</v>
      </c>
      <c r="L40" s="413">
        <f t="shared" si="8"/>
        <v>2270.7999999999997</v>
      </c>
      <c r="M40" s="414">
        <f t="shared" si="8"/>
        <v>2170</v>
      </c>
      <c r="N40" s="407">
        <f t="shared" si="8"/>
        <v>2035.4943018923852</v>
      </c>
      <c r="Q40" s="7">
        <f>ROW()</f>
        <v>40</v>
      </c>
      <c r="R40" s="102"/>
      <c r="S40" s="120"/>
      <c r="T40" s="120"/>
      <c r="U40" s="120"/>
    </row>
    <row r="41" spans="2:27" ht="14" customHeight="1">
      <c r="G41" s="913" t="s">
        <v>393</v>
      </c>
      <c r="H41" s="914"/>
      <c r="I41" s="914"/>
      <c r="J41" s="914"/>
      <c r="K41" s="914"/>
      <c r="L41" s="914"/>
      <c r="M41" s="915"/>
      <c r="Q41" s="7">
        <f>ROW()</f>
        <v>41</v>
      </c>
    </row>
    <row r="42" spans="2:27" ht="14" customHeight="1">
      <c r="Q42" s="7">
        <f>ROW()</f>
        <v>42</v>
      </c>
    </row>
    <row r="43" spans="2:27" ht="14" customHeight="1">
      <c r="Q43" s="7">
        <f>ROW()</f>
        <v>43</v>
      </c>
    </row>
    <row r="44" spans="2:27" ht="14" customHeight="1">
      <c r="B44" s="8" t="s">
        <v>554</v>
      </c>
      <c r="Q44" s="7">
        <f>ROW()</f>
        <v>44</v>
      </c>
    </row>
    <row r="45" spans="2:27" ht="14" customHeight="1">
      <c r="B45" s="134"/>
      <c r="Q45" s="7">
        <f>ROW()</f>
        <v>45</v>
      </c>
    </row>
    <row r="46" spans="2:27" ht="14" customHeight="1">
      <c r="B46" s="134"/>
      <c r="G46" s="80">
        <v>2005</v>
      </c>
      <c r="H46" s="80"/>
      <c r="I46" s="80">
        <v>2007</v>
      </c>
      <c r="J46" s="80">
        <v>2008</v>
      </c>
      <c r="K46" s="80">
        <v>2009</v>
      </c>
      <c r="L46" s="80">
        <v>2010</v>
      </c>
      <c r="M46" s="80">
        <v>2011</v>
      </c>
      <c r="N46" s="80">
        <v>2012</v>
      </c>
      <c r="Q46" s="7">
        <f>ROW()</f>
        <v>46</v>
      </c>
      <c r="R46" s="148"/>
    </row>
    <row r="47" spans="2:27" s="8" customFormat="1" ht="14" customHeight="1">
      <c r="B47" s="8" t="s">
        <v>108</v>
      </c>
      <c r="G47" s="9">
        <v>1187.8</v>
      </c>
      <c r="H47" s="924" t="s">
        <v>543</v>
      </c>
      <c r="I47" s="9">
        <v>1181.2</v>
      </c>
      <c r="J47" s="9">
        <v>1130.3</v>
      </c>
      <c r="K47" s="9">
        <v>1128.5</v>
      </c>
      <c r="L47" s="9">
        <v>1125</v>
      </c>
      <c r="M47" s="9">
        <v>1100.4000000000001</v>
      </c>
      <c r="N47" s="9">
        <f>M47*Energy!$N$22/Energy!$M$22</f>
        <v>1096.2244648581284</v>
      </c>
      <c r="O47" s="916" t="str">
        <f>CONCATENATE("2012 was ratio'd w/ ",Energy!B22, " figures from 'Energy' tab, Row ",Energy!Q22, ".")</f>
        <v>2012 was ratio'd w/ Motor Gasoline figures from 'Energy' tab, Row 22.</v>
      </c>
      <c r="Q47" s="7">
        <f>ROW()</f>
        <v>47</v>
      </c>
      <c r="R47"/>
    </row>
    <row r="48" spans="2:27" s="144" customFormat="1" ht="14" customHeight="1">
      <c r="B48" s="143" t="s">
        <v>138</v>
      </c>
      <c r="G48" s="145">
        <v>658</v>
      </c>
      <c r="H48" s="925"/>
      <c r="I48" s="145">
        <v>800.2</v>
      </c>
      <c r="J48" s="145">
        <v>765.6</v>
      </c>
      <c r="K48" s="145">
        <v>762.4</v>
      </c>
      <c r="L48" s="144">
        <v>759.2</v>
      </c>
      <c r="M48" s="144">
        <v>741.5</v>
      </c>
      <c r="N48" s="145">
        <f>M48*Energy!$N$22/Energy!$M$22</f>
        <v>738.68633287195746</v>
      </c>
      <c r="O48" s="917"/>
      <c r="Q48" s="7">
        <f>ROW()</f>
        <v>48</v>
      </c>
      <c r="R48"/>
    </row>
    <row r="49" spans="2:18" s="144" customFormat="1" ht="14" customHeight="1">
      <c r="B49" s="143" t="s">
        <v>139</v>
      </c>
      <c r="G49" s="145">
        <v>478.7</v>
      </c>
      <c r="H49" s="925"/>
      <c r="I49" s="145">
        <v>315.5</v>
      </c>
      <c r="J49" s="145">
        <v>298.89999999999998</v>
      </c>
      <c r="K49" s="145">
        <v>304.10000000000002</v>
      </c>
      <c r="L49" s="144">
        <v>304.3</v>
      </c>
      <c r="M49" s="144">
        <v>297.3</v>
      </c>
      <c r="N49" s="145">
        <f>M49*Energy!$N$22/Energy!$M$22</f>
        <v>296.1718769559447</v>
      </c>
      <c r="O49" s="917"/>
      <c r="Q49" s="7">
        <f>ROW()</f>
        <v>49</v>
      </c>
      <c r="R49" s="160"/>
    </row>
    <row r="50" spans="2:18" s="157" customFormat="1" ht="14" customHeight="1">
      <c r="B50" s="156" t="s">
        <v>140</v>
      </c>
      <c r="G50" s="158">
        <v>34.9</v>
      </c>
      <c r="H50" s="925"/>
      <c r="I50" s="158">
        <v>46.6</v>
      </c>
      <c r="J50" s="158">
        <v>47.2</v>
      </c>
      <c r="K50" s="158">
        <v>43.6</v>
      </c>
      <c r="L50" s="157">
        <v>43.8</v>
      </c>
      <c r="M50" s="157">
        <v>44.1</v>
      </c>
      <c r="N50" s="158">
        <f>M50*Energy!$N$22/Energy!$M$22</f>
        <v>43.932659851184525</v>
      </c>
      <c r="O50" s="917"/>
      <c r="Q50" s="7">
        <f>ROW()</f>
        <v>50</v>
      </c>
      <c r="R50"/>
    </row>
    <row r="51" spans="2:18" ht="14" customHeight="1">
      <c r="B51" s="134" t="s">
        <v>141</v>
      </c>
      <c r="G51" s="7">
        <v>0.4</v>
      </c>
      <c r="H51" s="926"/>
      <c r="I51" s="7">
        <v>0.7</v>
      </c>
      <c r="J51" s="7">
        <v>0.8</v>
      </c>
      <c r="K51" s="7">
        <v>0.8</v>
      </c>
      <c r="L51" s="7">
        <v>0.8</v>
      </c>
      <c r="M51" s="7">
        <v>0.8</v>
      </c>
      <c r="N51" s="7">
        <f>M51*Energy!$N$22/Energy!$M$22</f>
        <v>0.79696435104189622</v>
      </c>
      <c r="O51" s="917"/>
      <c r="Q51" s="7">
        <f>ROW()</f>
        <v>51</v>
      </c>
    </row>
    <row r="52" spans="2:18" s="144" customFormat="1" ht="14" customHeight="1">
      <c r="B52" s="143" t="s">
        <v>142</v>
      </c>
      <c r="G52" s="145">
        <v>1.6</v>
      </c>
      <c r="H52" s="145"/>
      <c r="I52" s="145">
        <v>4.3</v>
      </c>
      <c r="J52" s="145">
        <v>4.4000000000000004</v>
      </c>
      <c r="K52" s="145">
        <v>4.2</v>
      </c>
      <c r="L52" s="144">
        <v>3.8</v>
      </c>
      <c r="M52" s="144">
        <v>3.7</v>
      </c>
      <c r="N52" s="145">
        <f>M52*Energy!$N$22/Energy!$M$22</f>
        <v>3.68596012356877</v>
      </c>
      <c r="O52" s="917"/>
      <c r="Q52" s="7">
        <f>ROW()</f>
        <v>52</v>
      </c>
      <c r="R52"/>
    </row>
    <row r="53" spans="2:18" s="144" customFormat="1" ht="14" customHeight="1">
      <c r="B53" s="143" t="s">
        <v>145</v>
      </c>
      <c r="G53" s="145">
        <v>14.1</v>
      </c>
      <c r="H53" s="145"/>
      <c r="I53" s="145">
        <v>13.9</v>
      </c>
      <c r="J53" s="145">
        <v>13.5</v>
      </c>
      <c r="K53" s="145">
        <v>13.3</v>
      </c>
      <c r="L53" s="144">
        <v>13.1</v>
      </c>
      <c r="M53" s="145">
        <v>13</v>
      </c>
      <c r="N53" s="145">
        <f>M53*Energy!$N$22/Energy!$M$22</f>
        <v>12.950670704430811</v>
      </c>
      <c r="O53" s="918"/>
      <c r="Q53" s="7">
        <f>ROW()</f>
        <v>53</v>
      </c>
    </row>
    <row r="54" spans="2:18" s="8" customFormat="1" ht="14" customHeight="1">
      <c r="B54" s="8" t="s">
        <v>146</v>
      </c>
      <c r="G54" s="9">
        <v>458.1</v>
      </c>
      <c r="H54" s="9"/>
      <c r="I54" s="9">
        <v>476.3</v>
      </c>
      <c r="J54" s="9">
        <v>443.5</v>
      </c>
      <c r="K54" s="9">
        <v>403</v>
      </c>
      <c r="L54" s="9">
        <v>419.6</v>
      </c>
      <c r="M54" s="9">
        <v>435.7</v>
      </c>
      <c r="N54" s="9">
        <f>M54*Energy!$N$25/Energy!$M$25</f>
        <v>418.2521083396386</v>
      </c>
      <c r="O54" s="916" t="str">
        <f>CONCATENATE("2012 was ratio'd w/ ",Energy!B25, " figures from 'Energy' tab, Row ",Energy!Q25, ".")</f>
        <v>2012 was ratio'd w/ Distillate Fuel figures from 'Energy' tab, Row 25.</v>
      </c>
      <c r="Q54" s="7">
        <f>ROW()</f>
        <v>54</v>
      </c>
    </row>
    <row r="55" spans="2:18" s="144" customFormat="1" ht="14" customHeight="1">
      <c r="B55" s="143" t="s">
        <v>138</v>
      </c>
      <c r="G55" s="145">
        <v>4.2</v>
      </c>
      <c r="H55" s="145"/>
      <c r="I55" s="145">
        <v>4.0999999999999996</v>
      </c>
      <c r="J55" s="145">
        <v>3.7</v>
      </c>
      <c r="K55" s="145">
        <v>3.6</v>
      </c>
      <c r="L55" s="144">
        <v>3.8</v>
      </c>
      <c r="M55" s="144">
        <v>3.7</v>
      </c>
      <c r="N55" s="145">
        <f>M55*Energy!$N$25/Energy!$M$25</f>
        <v>3.5518310783949114</v>
      </c>
      <c r="O55" s="917"/>
      <c r="Q55" s="7">
        <f>ROW()</f>
        <v>55</v>
      </c>
    </row>
    <row r="56" spans="2:18" s="144" customFormat="1" ht="14" customHeight="1">
      <c r="B56" s="143" t="s">
        <v>139</v>
      </c>
      <c r="G56" s="145">
        <v>25.8</v>
      </c>
      <c r="H56" s="145"/>
      <c r="I56" s="145">
        <v>13.6</v>
      </c>
      <c r="J56" s="145">
        <v>12.1</v>
      </c>
      <c r="K56" s="145">
        <v>12.1</v>
      </c>
      <c r="L56" s="144">
        <v>12.6</v>
      </c>
      <c r="M56" s="144">
        <v>12.3</v>
      </c>
      <c r="N56" s="145">
        <f>M56*Energy!$N$25/Energy!$M$25</f>
        <v>11.807438449799301</v>
      </c>
      <c r="O56" s="917"/>
      <c r="Q56" s="7">
        <f>ROW()</f>
        <v>56</v>
      </c>
    </row>
    <row r="57" spans="2:18" s="157" customFormat="1" ht="14" customHeight="1">
      <c r="B57" s="156" t="s">
        <v>140</v>
      </c>
      <c r="G57" s="158">
        <v>360.6</v>
      </c>
      <c r="H57" s="158"/>
      <c r="I57" s="158">
        <v>384.6</v>
      </c>
      <c r="J57" s="158">
        <v>366.1</v>
      </c>
      <c r="K57" s="158">
        <v>332.2</v>
      </c>
      <c r="L57" s="157">
        <v>345.9</v>
      </c>
      <c r="M57" s="157">
        <v>349.8</v>
      </c>
      <c r="N57" s="158">
        <f>M57*Energy!$N$25/Energy!$M$25</f>
        <v>335.79203006014598</v>
      </c>
      <c r="O57" s="917"/>
      <c r="Q57" s="7">
        <f>ROW()</f>
        <v>57</v>
      </c>
    </row>
    <row r="58" spans="2:18" ht="14" customHeight="1">
      <c r="B58" s="134" t="s">
        <v>141</v>
      </c>
      <c r="G58" s="7">
        <v>10.6</v>
      </c>
      <c r="H58" s="7"/>
      <c r="I58" s="7">
        <v>15.9</v>
      </c>
      <c r="J58" s="7">
        <v>15.2</v>
      </c>
      <c r="K58" s="7">
        <v>14.1</v>
      </c>
      <c r="L58" s="7">
        <v>14.1</v>
      </c>
      <c r="M58" s="7">
        <v>14.3</v>
      </c>
      <c r="N58" s="7">
        <f>M58*Energy!$N$25/Energy!$M$25</f>
        <v>13.727347140823577</v>
      </c>
      <c r="O58" s="917"/>
      <c r="Q58" s="7">
        <f>ROW()</f>
        <v>58</v>
      </c>
    </row>
    <row r="59" spans="2:18" s="157" customFormat="1" ht="14" customHeight="1">
      <c r="B59" s="156" t="s">
        <v>144</v>
      </c>
      <c r="G59" s="158">
        <v>45.6</v>
      </c>
      <c r="H59" s="158"/>
      <c r="I59" s="158">
        <v>46.6</v>
      </c>
      <c r="J59" s="158">
        <v>43.2</v>
      </c>
      <c r="K59" s="158">
        <v>36.299999999999997</v>
      </c>
      <c r="L59" s="158">
        <v>39</v>
      </c>
      <c r="M59" s="158">
        <v>41</v>
      </c>
      <c r="N59" s="158">
        <f>M59*Energy!$N$25/Energy!$M$25</f>
        <v>39.358128165997663</v>
      </c>
      <c r="O59" s="917"/>
      <c r="Q59" s="7">
        <f>ROW()</f>
        <v>59</v>
      </c>
    </row>
    <row r="60" spans="2:18" s="144" customFormat="1" ht="14" customHeight="1">
      <c r="B60" s="143" t="s">
        <v>145</v>
      </c>
      <c r="G60" s="145">
        <v>3.1</v>
      </c>
      <c r="H60" s="145"/>
      <c r="I60" s="145">
        <v>3.3</v>
      </c>
      <c r="J60" s="146">
        <v>0.9</v>
      </c>
      <c r="K60" s="145">
        <v>3.5</v>
      </c>
      <c r="L60" s="144">
        <v>3.5</v>
      </c>
      <c r="M60" s="144">
        <v>3.6</v>
      </c>
      <c r="N60" s="145">
        <f>M60*Energy!$N$25/Energy!$M$25</f>
        <v>3.4558356438436975</v>
      </c>
      <c r="O60" s="917"/>
      <c r="Q60" s="7">
        <f>ROW()</f>
        <v>60</v>
      </c>
    </row>
    <row r="61" spans="2:18" s="157" customFormat="1" ht="14" customHeight="1">
      <c r="B61" s="156" t="s">
        <v>153</v>
      </c>
      <c r="G61" s="158">
        <v>8.1</v>
      </c>
      <c r="H61" s="158"/>
      <c r="I61" s="158">
        <v>8.1999999999999993</v>
      </c>
      <c r="J61" s="158">
        <v>2.2000000000000002</v>
      </c>
      <c r="K61" s="158">
        <v>1.3</v>
      </c>
      <c r="L61" s="157">
        <v>0.8</v>
      </c>
      <c r="M61" s="158">
        <v>11</v>
      </c>
      <c r="N61" s="158">
        <f>M61*Energy!$N$25/Energy!$M$25</f>
        <v>10.559497800633521</v>
      </c>
      <c r="O61" s="917"/>
      <c r="Q61" s="7">
        <f>ROW()</f>
        <v>61</v>
      </c>
    </row>
    <row r="62" spans="2:18" s="157" customFormat="1" ht="14" customHeight="1">
      <c r="B62" s="156" t="s">
        <v>147</v>
      </c>
      <c r="G62" s="158">
        <v>9.4</v>
      </c>
      <c r="H62" s="158"/>
      <c r="I62" s="158">
        <v>8.1999999999999993</v>
      </c>
      <c r="J62" s="158">
        <v>9</v>
      </c>
      <c r="K62" s="158">
        <v>8.1999999999999993</v>
      </c>
      <c r="L62" s="157">
        <v>9.5</v>
      </c>
      <c r="M62" s="157">
        <v>7.5</v>
      </c>
      <c r="N62" s="158">
        <f>M62*Energy!$N$25/Energy!$M$25</f>
        <v>7.1996575913410359</v>
      </c>
      <c r="O62" s="918"/>
      <c r="Q62" s="7">
        <f>ROW()</f>
        <v>62</v>
      </c>
    </row>
    <row r="63" spans="2:18" s="8" customFormat="1" ht="14" customHeight="1">
      <c r="B63" s="8" t="s">
        <v>148</v>
      </c>
      <c r="G63" s="9">
        <v>169.6</v>
      </c>
      <c r="H63" s="9"/>
      <c r="I63" s="9">
        <v>174.4</v>
      </c>
      <c r="J63" s="9">
        <v>163.9</v>
      </c>
      <c r="K63" s="9">
        <v>151.1</v>
      </c>
      <c r="L63" s="9">
        <v>143.1</v>
      </c>
      <c r="M63" s="9">
        <v>143.30000000000001</v>
      </c>
      <c r="N63" s="9">
        <f>M63*Energy!$N$23/Energy!$M$23</f>
        <v>140.61714281746089</v>
      </c>
      <c r="O63" s="916" t="str">
        <f>CONCATENATE("2012 ratio'd w/ ",Energy!B23, " figures from 'Energy', Row ",Energy!Q23, ".")</f>
        <v>2012 ratio'd w/ Jet Fuel+Aviation Gas figures from 'Energy', Row 23.</v>
      </c>
      <c r="Q63" s="7">
        <f>ROW()</f>
        <v>63</v>
      </c>
    </row>
    <row r="64" spans="2:18" s="148" customFormat="1" ht="14" customHeight="1">
      <c r="B64" s="147" t="s">
        <v>143</v>
      </c>
      <c r="G64" s="149">
        <v>136.6</v>
      </c>
      <c r="H64" s="149"/>
      <c r="I64" s="149">
        <v>143.80000000000001</v>
      </c>
      <c r="J64" s="149">
        <v>131</v>
      </c>
      <c r="K64" s="149">
        <v>123</v>
      </c>
      <c r="L64" s="148">
        <v>116.6</v>
      </c>
      <c r="M64" s="148">
        <v>117.9</v>
      </c>
      <c r="N64" s="149">
        <f>M64*Energy!$N$23/Energy!$M$23</f>
        <v>115.6926806572131</v>
      </c>
      <c r="O64" s="917"/>
      <c r="Q64" s="7">
        <f>ROW()</f>
        <v>64</v>
      </c>
    </row>
    <row r="65" spans="2:22" ht="14" customHeight="1">
      <c r="B65" s="134" t="s">
        <v>149</v>
      </c>
      <c r="G65" s="7">
        <v>18.100000000000001</v>
      </c>
      <c r="H65" s="7"/>
      <c r="I65" s="7">
        <v>16.100000000000001</v>
      </c>
      <c r="J65" s="7">
        <v>16.3</v>
      </c>
      <c r="K65" s="7">
        <v>14</v>
      </c>
      <c r="L65" s="7">
        <v>12.5</v>
      </c>
      <c r="M65" s="7">
        <v>11.4</v>
      </c>
      <c r="N65" s="7">
        <f>M65*Energy!$N$23/Energy!$M$23</f>
        <v>11.186569630977347</v>
      </c>
      <c r="O65" s="917"/>
      <c r="Q65" s="7">
        <f>ROW()</f>
        <v>65</v>
      </c>
    </row>
    <row r="66" spans="2:22" s="148" customFormat="1" ht="14" customHeight="1">
      <c r="B66" s="147" t="s">
        <v>150</v>
      </c>
      <c r="G66" s="149">
        <v>14.9</v>
      </c>
      <c r="H66" s="149"/>
      <c r="I66" s="149">
        <v>14.5</v>
      </c>
      <c r="J66" s="149">
        <v>16.600000000000001</v>
      </c>
      <c r="K66" s="149">
        <v>14.1</v>
      </c>
      <c r="L66" s="149">
        <v>14</v>
      </c>
      <c r="M66" s="149">
        <v>14</v>
      </c>
      <c r="N66" s="149">
        <f>M66*Energy!$N$23/Energy!$M$23</f>
        <v>13.737892529270427</v>
      </c>
      <c r="O66" s="917"/>
      <c r="Q66" s="7">
        <f>ROW()</f>
        <v>66</v>
      </c>
    </row>
    <row r="67" spans="2:22" s="148" customFormat="1" ht="14" customHeight="1">
      <c r="B67" s="147" t="s">
        <v>154</v>
      </c>
      <c r="G67" s="149">
        <v>81.3</v>
      </c>
      <c r="H67" s="149"/>
      <c r="I67" s="149">
        <v>68.099999999999994</v>
      </c>
      <c r="J67" s="149">
        <v>66.7</v>
      </c>
      <c r="K67" s="149">
        <v>57.1</v>
      </c>
      <c r="L67" s="148">
        <v>70.900000000000006</v>
      </c>
      <c r="M67" s="148">
        <v>69.8</v>
      </c>
      <c r="N67" s="149">
        <f>M67*Energy!$N$23/Energy!$M$23</f>
        <v>68.493207038791127</v>
      </c>
      <c r="O67" s="917"/>
      <c r="Q67" s="7">
        <f>ROW()</f>
        <v>67</v>
      </c>
    </row>
    <row r="68" spans="2:22" s="8" customFormat="1" ht="14" customHeight="1">
      <c r="B68" s="8" t="s">
        <v>151</v>
      </c>
      <c r="G68" s="9">
        <f>G69</f>
        <v>2.4</v>
      </c>
      <c r="H68" s="9"/>
      <c r="I68" s="9">
        <f>I69</f>
        <v>2.2000000000000002</v>
      </c>
      <c r="J68" s="9">
        <f>J69</f>
        <v>2</v>
      </c>
      <c r="K68" s="9">
        <f>K69</f>
        <v>1.8</v>
      </c>
      <c r="L68" s="9">
        <f>L69</f>
        <v>1.9</v>
      </c>
      <c r="M68" s="9">
        <f>M69</f>
        <v>1.9</v>
      </c>
      <c r="N68" s="9">
        <f>M68*Energy!$N$23/Energy!$M$23</f>
        <v>1.8644282718295579</v>
      </c>
      <c r="O68" s="917"/>
      <c r="P68" s="392"/>
      <c r="Q68" s="7">
        <f>ROW()</f>
        <v>68</v>
      </c>
    </row>
    <row r="69" spans="2:22" s="148" customFormat="1" ht="14" customHeight="1">
      <c r="B69" s="147" t="s">
        <v>150</v>
      </c>
      <c r="G69" s="149">
        <v>2.4</v>
      </c>
      <c r="H69" s="149"/>
      <c r="I69" s="149">
        <v>2.2000000000000002</v>
      </c>
      <c r="J69" s="149">
        <v>2</v>
      </c>
      <c r="K69" s="149">
        <v>1.8</v>
      </c>
      <c r="L69" s="148">
        <v>1.9</v>
      </c>
      <c r="M69" s="148">
        <v>1.9</v>
      </c>
      <c r="N69" s="149">
        <f>M69*Energy!$N$23/Energy!$M$23</f>
        <v>1.8644282718295579</v>
      </c>
      <c r="O69" s="918"/>
      <c r="P69" s="91"/>
      <c r="Q69" s="7">
        <f>ROW()</f>
        <v>69</v>
      </c>
    </row>
    <row r="70" spans="2:22" s="8" customFormat="1" ht="14" customHeight="1">
      <c r="B70" s="8" t="s">
        <v>152</v>
      </c>
      <c r="G70" s="9"/>
      <c r="H70" s="9"/>
      <c r="I70" s="9"/>
      <c r="J70" s="9"/>
      <c r="K70" s="9"/>
      <c r="L70" s="9"/>
      <c r="M70" s="9"/>
      <c r="N70" s="9"/>
      <c r="O70" s="392"/>
      <c r="P70" s="392"/>
      <c r="Q70" s="7">
        <f>ROW()</f>
        <v>70</v>
      </c>
      <c r="S70"/>
      <c r="T70"/>
      <c r="U70"/>
      <c r="V70"/>
    </row>
    <row r="71" spans="2:22" s="157" customFormat="1" ht="14" customHeight="1">
      <c r="B71" s="156" t="s">
        <v>153</v>
      </c>
      <c r="G71" s="158">
        <v>19.3</v>
      </c>
      <c r="H71" s="158"/>
      <c r="I71" s="158">
        <v>29</v>
      </c>
      <c r="J71" s="158">
        <v>19.899999999999999</v>
      </c>
      <c r="K71" s="158">
        <v>15.4</v>
      </c>
      <c r="L71" s="157">
        <v>19.3</v>
      </c>
      <c r="M71" s="157">
        <v>20.100000000000001</v>
      </c>
      <c r="N71" s="158">
        <f>M71</f>
        <v>20.100000000000001</v>
      </c>
      <c r="O71" s="822" t="s">
        <v>556</v>
      </c>
      <c r="P71" s="91"/>
      <c r="Q71" s="7">
        <f>ROW()</f>
        <v>71</v>
      </c>
      <c r="S71"/>
      <c r="T71"/>
      <c r="U71"/>
      <c r="V71"/>
    </row>
    <row r="72" spans="2:22" s="157" customFormat="1" ht="14" customHeight="1">
      <c r="B72" s="156" t="s">
        <v>545</v>
      </c>
      <c r="G72" s="158">
        <v>43.6</v>
      </c>
      <c r="H72" s="158"/>
      <c r="I72" s="158">
        <v>45.6</v>
      </c>
      <c r="J72" s="158">
        <v>49.2</v>
      </c>
      <c r="K72" s="158">
        <v>45.4</v>
      </c>
      <c r="L72" s="158">
        <v>46.5</v>
      </c>
      <c r="M72" s="158">
        <v>38.9</v>
      </c>
      <c r="N72" s="158">
        <f>M72</f>
        <v>38.9</v>
      </c>
      <c r="O72" s="824"/>
      <c r="P72" s="91"/>
      <c r="Q72" s="7">
        <f>ROW()</f>
        <v>72</v>
      </c>
      <c r="S72"/>
      <c r="T72"/>
      <c r="U72"/>
      <c r="V72"/>
    </row>
    <row r="73" spans="2:22" ht="14" customHeight="1">
      <c r="B73" s="134"/>
      <c r="M73" s="91"/>
      <c r="N73" s="91"/>
      <c r="O73" s="91"/>
      <c r="P73" s="91"/>
      <c r="Q73" s="7">
        <f>ROW()</f>
        <v>73</v>
      </c>
    </row>
    <row r="74" spans="2:22" s="144" customFormat="1" ht="14" customHeight="1">
      <c r="B74" s="133" t="s">
        <v>156</v>
      </c>
      <c r="G74" s="150">
        <f>G48+G49+G52+G53+G55+G56+G60</f>
        <v>1185.4999999999998</v>
      </c>
      <c r="I74" s="150">
        <f t="shared" ref="I74:N74" si="9">I48+I49+I52+I53+I55+I56+I60</f>
        <v>1154.8999999999999</v>
      </c>
      <c r="J74" s="150">
        <f t="shared" si="9"/>
        <v>1099.1000000000001</v>
      </c>
      <c r="K74" s="150">
        <f t="shared" si="9"/>
        <v>1103.1999999999998</v>
      </c>
      <c r="L74" s="150">
        <f t="shared" si="9"/>
        <v>1100.2999999999997</v>
      </c>
      <c r="M74" s="150">
        <f t="shared" si="9"/>
        <v>1075.0999999999999</v>
      </c>
      <c r="N74" s="150">
        <f t="shared" si="9"/>
        <v>1070.3099458279396</v>
      </c>
      <c r="Q74" s="7">
        <f>ROW()</f>
        <v>74</v>
      </c>
      <c r="S74"/>
      <c r="T74"/>
      <c r="U74"/>
      <c r="V74"/>
    </row>
    <row r="75" spans="2:22" ht="14" customHeight="1">
      <c r="B75" s="91" t="str">
        <f>CONCATENATE("Sum of Rows: ",Q48,", ",Q49,", ",Q52,", ",Q53,", ",Q55,", ",Q56,", ",Q60,".")</f>
        <v>Sum of Rows: 48, 49, 52, 53, 55, 56, 60.</v>
      </c>
      <c r="Q75" s="7">
        <f>ROW()</f>
        <v>75</v>
      </c>
    </row>
    <row r="76" spans="2:22" ht="14" customHeight="1">
      <c r="B76" s="134"/>
      <c r="G76" s="80">
        <v>2005</v>
      </c>
      <c r="H76" s="80"/>
      <c r="I76" s="80">
        <v>2007</v>
      </c>
      <c r="J76" s="80">
        <v>2008</v>
      </c>
      <c r="K76" s="80">
        <v>2009</v>
      </c>
      <c r="L76" s="80">
        <v>2010</v>
      </c>
      <c r="M76" s="80">
        <v>2011</v>
      </c>
      <c r="N76" s="80">
        <v>2012</v>
      </c>
      <c r="Q76" s="7">
        <f>ROW()</f>
        <v>76</v>
      </c>
    </row>
    <row r="77" spans="2:22" ht="14" customHeight="1">
      <c r="B77" s="134"/>
      <c r="G77" s="80"/>
      <c r="H77" s="80"/>
      <c r="I77" s="80"/>
      <c r="J77" s="80"/>
      <c r="K77" s="80"/>
      <c r="Q77" s="7">
        <f>ROW()</f>
        <v>77</v>
      </c>
    </row>
    <row r="78" spans="2:22" s="160" customFormat="1" ht="14" customHeight="1">
      <c r="B78" s="159" t="s">
        <v>163</v>
      </c>
      <c r="G78" s="161">
        <f>G50+G57+G59+G61+G62+G71+G72</f>
        <v>521.5</v>
      </c>
      <c r="H78" s="161"/>
      <c r="I78" s="161">
        <f t="shared" ref="I78:N78" si="10">I50+I57+I59+I61+I62+I71+I72</f>
        <v>568.80000000000007</v>
      </c>
      <c r="J78" s="161">
        <f t="shared" si="10"/>
        <v>536.79999999999995</v>
      </c>
      <c r="K78" s="161">
        <f t="shared" si="10"/>
        <v>482.4</v>
      </c>
      <c r="L78" s="161">
        <f t="shared" si="10"/>
        <v>504.8</v>
      </c>
      <c r="M78" s="161">
        <f t="shared" si="10"/>
        <v>512.40000000000009</v>
      </c>
      <c r="N78" s="161">
        <f t="shared" si="10"/>
        <v>495.84197346930267</v>
      </c>
      <c r="Q78" s="7">
        <f>ROW()</f>
        <v>78</v>
      </c>
    </row>
    <row r="79" spans="2:22" ht="14" customHeight="1">
      <c r="B79" s="91" t="str">
        <f>CONCATENATE("Sum of Rows: ",Q50,", ",Q57,", ",Q59,", ",Q61,", ",Q62,", ",Q71,", ",Q72,".")</f>
        <v>Sum of Rows: 50, 57, 59, 61, 62, 71, 72.</v>
      </c>
      <c r="Q79" s="7">
        <f>ROW()</f>
        <v>79</v>
      </c>
    </row>
    <row r="80" spans="2:22" ht="14" customHeight="1">
      <c r="B80" s="91"/>
      <c r="Q80" s="7">
        <f>ROW()</f>
        <v>80</v>
      </c>
    </row>
    <row r="81" spans="2:17" s="148" customFormat="1" ht="14" customHeight="1">
      <c r="B81" s="151" t="s">
        <v>557</v>
      </c>
      <c r="G81" s="152">
        <f>G64+G66+G67+G69</f>
        <v>235.20000000000002</v>
      </c>
      <c r="I81" s="152">
        <f t="shared" ref="I81:N81" si="11">I64+I66+I67+I69</f>
        <v>228.6</v>
      </c>
      <c r="J81" s="152">
        <f t="shared" si="11"/>
        <v>216.3</v>
      </c>
      <c r="K81" s="152">
        <f t="shared" si="11"/>
        <v>196</v>
      </c>
      <c r="L81" s="152">
        <f t="shared" si="11"/>
        <v>203.4</v>
      </c>
      <c r="M81" s="152">
        <f t="shared" si="11"/>
        <v>203.6</v>
      </c>
      <c r="N81" s="152">
        <f t="shared" si="11"/>
        <v>199.78820849710422</v>
      </c>
      <c r="Q81" s="7">
        <f>ROW()</f>
        <v>81</v>
      </c>
    </row>
    <row r="82" spans="2:17" ht="14" customHeight="1">
      <c r="B82" s="91" t="str">
        <f>CONCATENATE("Sum of Rows: ",Q64,", ",Q66,", ",Q67,", ",Q69,".")</f>
        <v>Sum of Rows: 64, 66, 67, 69.</v>
      </c>
      <c r="Q82" s="7">
        <f>ROW()</f>
        <v>82</v>
      </c>
    </row>
    <row r="83" spans="2:17" ht="14" customHeight="1">
      <c r="B83" s="91"/>
      <c r="Q83" s="7">
        <f>ROW()</f>
        <v>83</v>
      </c>
    </row>
    <row r="84" spans="2:17" ht="14" customHeight="1">
      <c r="B84" s="8" t="s">
        <v>162</v>
      </c>
      <c r="G84" s="9">
        <f>G21-G40-G74-G81-G78</f>
        <v>1506.8000000000009</v>
      </c>
      <c r="I84" s="9">
        <f>I21-I40-I74-I81-I78</f>
        <v>1507.1000000000008</v>
      </c>
      <c r="J84" s="9">
        <f>J21-J40-J74-J81-J78</f>
        <v>1481.7999999999997</v>
      </c>
      <c r="K84" s="9">
        <f>K21-K40-K74-K81-K78</f>
        <v>1390.6999999999998</v>
      </c>
      <c r="L84" s="9">
        <f>L21-L40-L74-L81-L78</f>
        <v>1430.4999999999998</v>
      </c>
      <c r="M84" s="9">
        <f>M21-M40-M74-M81-M78</f>
        <v>1424.4</v>
      </c>
      <c r="N84" s="9">
        <f>M84</f>
        <v>1424.4</v>
      </c>
      <c r="O84" s="822" t="s">
        <v>556</v>
      </c>
      <c r="Q84" s="7">
        <f>ROW()</f>
        <v>84</v>
      </c>
    </row>
    <row r="85" spans="2:17" ht="14" customHeight="1">
      <c r="B85" s="91"/>
      <c r="O85" s="824"/>
      <c r="Q85" s="7">
        <f>ROW()</f>
        <v>85</v>
      </c>
    </row>
    <row r="86" spans="2:17" ht="14" customHeight="1">
      <c r="B86" s="8" t="s">
        <v>167</v>
      </c>
      <c r="C86" s="28"/>
      <c r="D86" s="28"/>
      <c r="E86" s="28"/>
      <c r="F86" s="28"/>
      <c r="G86" s="68">
        <f>G40*Parameters!$H$14/(Energy!G8*1000)</f>
        <v>1.3127019529516197</v>
      </c>
      <c r="H86" s="68">
        <f>H40*Parameters!$H$14/(Energy!H8*1000)</f>
        <v>1.2794819173159859</v>
      </c>
      <c r="I86" s="68">
        <f>I40*Parameters!$H$14/(Energy!I8*1000)</f>
        <v>1.2864792897010242</v>
      </c>
      <c r="J86" s="68">
        <f>J40*Parameters!$H$14/(Energy!J8*1000)</f>
        <v>1.2698833673283527</v>
      </c>
      <c r="K86" s="68">
        <f>K40*Parameters!$H$14/(Energy!K8*1000)</f>
        <v>1.204443143606029</v>
      </c>
      <c r="L86" s="68">
        <f>L40*Parameters!$H$14/(Energy!L8*1000)</f>
        <v>1.2138281919251641</v>
      </c>
      <c r="M86" s="68">
        <f>M40*Parameters!$H$14/(Energy!M8*1000)</f>
        <v>1.1668498751559522</v>
      </c>
      <c r="N86" s="68">
        <f>N40*Parameters!$H$14/(Energy!N8*1000)</f>
        <v>1.1069876810124033</v>
      </c>
      <c r="Q86" s="7">
        <f>ROW()</f>
        <v>86</v>
      </c>
    </row>
    <row r="87" spans="2:17" ht="14" customHeight="1">
      <c r="B87" s="318" t="str">
        <f>CONCATENATE("Emissions from Row ",Q40, ", divided by Generation from 'Energy' tab, Row ",Energy!Q8, ", with metric tons converted to pounds and TWh's converted to kWh's.")</f>
        <v>Emissions from Row 40, divided by Generation from 'Energy' tab, Row 8, with metric tons converted to pounds and TWh's converted to kWh's.</v>
      </c>
      <c r="C87" s="28"/>
      <c r="D87" s="28"/>
      <c r="E87" s="28"/>
      <c r="F87" s="28"/>
      <c r="G87" s="28"/>
      <c r="H87" s="28"/>
      <c r="I87" s="28"/>
      <c r="J87" s="28"/>
      <c r="K87" s="28"/>
      <c r="L87" s="28"/>
      <c r="M87" s="28"/>
      <c r="Q87" s="7">
        <f>ROW()</f>
        <v>87</v>
      </c>
    </row>
    <row r="88" spans="2:17" ht="14" customHeight="1">
      <c r="B88" s="13" t="s">
        <v>558</v>
      </c>
      <c r="C88" s="28"/>
      <c r="D88" s="28"/>
      <c r="E88" s="28"/>
      <c r="F88" s="28"/>
      <c r="G88" s="28"/>
      <c r="H88" s="28"/>
      <c r="I88" s="28"/>
      <c r="J88" s="28"/>
      <c r="K88" s="28"/>
      <c r="L88" s="68">
        <f>(L86/$G86)^(1/(L9-$G9))</f>
        <v>0.98446032392789318</v>
      </c>
      <c r="M88" s="68">
        <f>(M86/$G86)^(1/(M9-$G9))</f>
        <v>0.9805614352923494</v>
      </c>
      <c r="N88" s="68">
        <f>(N86/$G86)^(1/(N9-$G9))</f>
        <v>0.97594476007790132</v>
      </c>
      <c r="Q88" s="7">
        <f>ROW()</f>
        <v>88</v>
      </c>
    </row>
    <row r="89" spans="2:17" ht="14" customHeight="1">
      <c r="B89" s="28"/>
      <c r="C89" s="28"/>
      <c r="D89" s="28"/>
      <c r="E89" s="28"/>
      <c r="F89" s="28"/>
      <c r="G89" s="28"/>
      <c r="H89" s="28"/>
      <c r="I89" s="28"/>
      <c r="J89" s="28"/>
      <c r="Q89" s="7">
        <f>ROW()</f>
        <v>89</v>
      </c>
    </row>
    <row r="90" spans="2:17" ht="14" customHeight="1">
      <c r="B90" s="8" t="s">
        <v>376</v>
      </c>
      <c r="C90" s="141"/>
      <c r="D90" s="141"/>
      <c r="E90" s="141"/>
      <c r="F90" s="141"/>
      <c r="G90" s="141"/>
      <c r="H90" s="141"/>
      <c r="I90" s="141"/>
      <c r="J90" s="141"/>
      <c r="Q90" s="7">
        <f>ROW()</f>
        <v>90</v>
      </c>
    </row>
    <row r="91" spans="2:17" ht="14" customHeight="1">
      <c r="B91" s="141"/>
      <c r="C91" s="141"/>
      <c r="D91" s="141"/>
      <c r="E91" s="141"/>
      <c r="F91" s="141"/>
      <c r="G91" s="141"/>
      <c r="H91" s="141"/>
      <c r="I91" s="141"/>
      <c r="J91" s="141"/>
      <c r="Q91" s="7">
        <f>ROW()</f>
        <v>91</v>
      </c>
    </row>
    <row r="92" spans="2:17" ht="14" customHeight="1">
      <c r="B92" s="32" t="s">
        <v>377</v>
      </c>
      <c r="C92" s="141"/>
      <c r="D92" s="141"/>
      <c r="E92" s="141"/>
      <c r="F92" s="141"/>
      <c r="G92" s="141"/>
      <c r="H92" s="141"/>
      <c r="I92" s="141"/>
      <c r="J92" s="141"/>
      <c r="Q92" s="7">
        <f>ROW()</f>
        <v>92</v>
      </c>
    </row>
    <row r="93" spans="2:17" ht="14" customHeight="1">
      <c r="B93" s="32" t="s">
        <v>378</v>
      </c>
      <c r="C93" s="141"/>
      <c r="D93" s="141"/>
      <c r="E93" s="141"/>
      <c r="F93" s="141"/>
      <c r="G93" s="269">
        <v>40150</v>
      </c>
      <c r="H93" s="141"/>
      <c r="I93" s="141"/>
      <c r="J93" s="141"/>
      <c r="Q93" s="7">
        <f>ROW()</f>
        <v>93</v>
      </c>
    </row>
    <row r="94" spans="2:17" ht="14" customHeight="1">
      <c r="B94" t="s">
        <v>379</v>
      </c>
      <c r="L94" s="32" t="s">
        <v>380</v>
      </c>
      <c r="Q94" s="7">
        <f>ROW()</f>
        <v>94</v>
      </c>
    </row>
    <row r="95" spans="2:17" ht="14" customHeight="1">
      <c r="B95" t="s">
        <v>381</v>
      </c>
      <c r="I95" s="32" t="s">
        <v>382</v>
      </c>
      <c r="Q95" s="7">
        <f>ROW()</f>
        <v>95</v>
      </c>
    </row>
    <row r="96" spans="2:17" ht="14" customHeight="1">
      <c r="B96" t="s">
        <v>383</v>
      </c>
      <c r="I96" s="32" t="s">
        <v>384</v>
      </c>
      <c r="Q96" s="7">
        <f>ROW()</f>
        <v>96</v>
      </c>
    </row>
    <row r="97" spans="2:17" ht="14" customHeight="1">
      <c r="Q97" s="7">
        <f>ROW()</f>
        <v>97</v>
      </c>
    </row>
    <row r="98" spans="2:17" ht="14" customHeight="1">
      <c r="Q98" s="7">
        <f>ROW()</f>
        <v>98</v>
      </c>
    </row>
    <row r="99" spans="2:17" ht="14" customHeight="1">
      <c r="B99" s="32" t="s">
        <v>205</v>
      </c>
      <c r="F99" s="32"/>
      <c r="J99">
        <v>2421</v>
      </c>
      <c r="Q99" s="7">
        <f>ROW()</f>
        <v>99</v>
      </c>
    </row>
    <row r="100" spans="2:17" ht="14" customHeight="1">
      <c r="B100" s="32" t="s">
        <v>206</v>
      </c>
      <c r="F100" s="32"/>
      <c r="J100">
        <v>2778</v>
      </c>
      <c r="Q100" s="7">
        <f>ROW()</f>
        <v>100</v>
      </c>
    </row>
    <row r="101" spans="2:17" ht="14" customHeight="1">
      <c r="B101" s="768" t="s">
        <v>183</v>
      </c>
      <c r="C101" s="738"/>
      <c r="D101" s="738"/>
      <c r="E101" s="738"/>
      <c r="F101" s="738"/>
      <c r="G101" s="738"/>
      <c r="H101" s="738"/>
      <c r="I101" s="738"/>
      <c r="J101" s="738"/>
      <c r="K101" s="738"/>
      <c r="Q101" s="7">
        <f>ROW()</f>
        <v>101</v>
      </c>
    </row>
    <row r="102" spans="2:17" ht="14" customHeight="1">
      <c r="B102" s="738"/>
      <c r="C102" s="738"/>
      <c r="D102" s="738"/>
      <c r="E102" s="738"/>
      <c r="F102" s="738"/>
      <c r="G102" s="738"/>
      <c r="H102" s="738"/>
      <c r="I102" s="738"/>
      <c r="J102" s="738"/>
      <c r="K102" s="738"/>
      <c r="Q102" s="7">
        <f>ROW()</f>
        <v>102</v>
      </c>
    </row>
    <row r="103" spans="2:17" ht="14" customHeight="1">
      <c r="B103" s="32" t="s">
        <v>197</v>
      </c>
      <c r="J103">
        <v>9.57</v>
      </c>
      <c r="Q103" s="7">
        <f>ROW()</f>
        <v>103</v>
      </c>
    </row>
    <row r="104" spans="2:17" ht="14" customHeight="1">
      <c r="B104" s="768" t="s">
        <v>198</v>
      </c>
      <c r="C104" s="768"/>
      <c r="D104" s="768"/>
      <c r="E104" s="768"/>
      <c r="F104" s="768"/>
      <c r="G104" s="768"/>
      <c r="H104" s="768"/>
      <c r="I104" s="768"/>
      <c r="J104" s="768"/>
      <c r="K104" s="768"/>
      <c r="Q104" s="7">
        <f>ROW()</f>
        <v>104</v>
      </c>
    </row>
    <row r="105" spans="2:17" ht="14" customHeight="1">
      <c r="B105" s="768"/>
      <c r="C105" s="768"/>
      <c r="D105" s="768"/>
      <c r="E105" s="768"/>
      <c r="F105" s="768"/>
      <c r="G105" s="768"/>
      <c r="H105" s="768"/>
      <c r="I105" s="768"/>
      <c r="J105" s="768"/>
      <c r="K105" s="768"/>
      <c r="Q105" s="7">
        <f>ROW()</f>
        <v>105</v>
      </c>
    </row>
    <row r="106" spans="2:17" ht="14" customHeight="1">
      <c r="B106" s="32" t="s">
        <v>207</v>
      </c>
      <c r="J106">
        <f>J103*1000/Parameters!H13</f>
        <v>2610</v>
      </c>
      <c r="Q106" s="7">
        <f>ROW()</f>
        <v>106</v>
      </c>
    </row>
    <row r="107" spans="2:17" ht="14" customHeight="1">
      <c r="B107" s="32" t="s">
        <v>199</v>
      </c>
      <c r="J107">
        <v>53.06</v>
      </c>
      <c r="Q107" s="7">
        <f>ROW()</f>
        <v>107</v>
      </c>
    </row>
    <row r="108" spans="2:17" ht="14" customHeight="1">
      <c r="B108" s="768" t="s">
        <v>198</v>
      </c>
      <c r="C108" s="768"/>
      <c r="D108" s="768"/>
      <c r="E108" s="768"/>
      <c r="F108" s="768"/>
      <c r="G108" s="768"/>
      <c r="H108" s="768"/>
      <c r="I108" s="768"/>
      <c r="J108" s="768"/>
      <c r="K108" s="768"/>
      <c r="Q108" s="7">
        <f>ROW()</f>
        <v>108</v>
      </c>
    </row>
    <row r="109" spans="2:17" ht="14" customHeight="1">
      <c r="B109" s="768"/>
      <c r="C109" s="768"/>
      <c r="D109" s="768"/>
      <c r="E109" s="768"/>
      <c r="F109" s="768"/>
      <c r="G109" s="768"/>
      <c r="H109" s="768"/>
      <c r="I109" s="768"/>
      <c r="J109" s="768"/>
      <c r="K109" s="768"/>
      <c r="Q109" s="7">
        <f>ROW()</f>
        <v>109</v>
      </c>
    </row>
    <row r="110" spans="2:17" ht="14" customHeight="1">
      <c r="B110" s="32"/>
      <c r="Q110" s="7">
        <f>ROW()</f>
        <v>110</v>
      </c>
    </row>
    <row r="111" spans="2:17" ht="14" customHeight="1">
      <c r="B111" s="1" t="s">
        <v>537</v>
      </c>
      <c r="Q111" s="7">
        <f>ROW()</f>
        <v>111</v>
      </c>
    </row>
    <row r="112" spans="2:17" ht="14" customHeight="1">
      <c r="Q112" s="7">
        <f>ROW()</f>
        <v>112</v>
      </c>
    </row>
    <row r="113" spans="2:17" ht="14" customHeight="1">
      <c r="B113" s="32" t="s">
        <v>538</v>
      </c>
      <c r="Q113" s="7">
        <f>ROW()</f>
        <v>113</v>
      </c>
    </row>
    <row r="114" spans="2:17" ht="14" customHeight="1">
      <c r="B114" s="32" t="s">
        <v>539</v>
      </c>
      <c r="I114" s="923" t="s">
        <v>689</v>
      </c>
      <c r="J114" s="923" t="s">
        <v>567</v>
      </c>
      <c r="Q114" s="7">
        <f>ROW()</f>
        <v>114</v>
      </c>
    </row>
    <row r="115" spans="2:17" ht="14" customHeight="1">
      <c r="B115" s="377" t="s">
        <v>530</v>
      </c>
      <c r="C115" s="382" t="s">
        <v>55</v>
      </c>
      <c r="D115" s="382" t="s">
        <v>56</v>
      </c>
      <c r="E115" s="382" t="s">
        <v>54</v>
      </c>
      <c r="F115" s="382" t="s">
        <v>540</v>
      </c>
      <c r="G115" s="382" t="s">
        <v>541</v>
      </c>
      <c r="H115" s="422" t="s">
        <v>531</v>
      </c>
      <c r="I115" s="780"/>
      <c r="J115" s="780"/>
      <c r="Q115" s="7">
        <f>ROW()</f>
        <v>115</v>
      </c>
    </row>
    <row r="116" spans="2:17" ht="14" customHeight="1">
      <c r="B116" s="381" t="s">
        <v>48</v>
      </c>
      <c r="C116" s="383">
        <v>1</v>
      </c>
      <c r="D116" s="383">
        <v>5</v>
      </c>
      <c r="E116" s="383">
        <v>151</v>
      </c>
      <c r="F116" s="383">
        <v>0</v>
      </c>
      <c r="G116" s="384">
        <v>1718</v>
      </c>
      <c r="H116" s="379">
        <v>1874</v>
      </c>
      <c r="I116" s="423">
        <f>H116-G116-F116</f>
        <v>156</v>
      </c>
      <c r="J116" s="426">
        <f>I116/$I$121</f>
        <v>0.10612244897959183</v>
      </c>
      <c r="Q116" s="7">
        <f>ROW()</f>
        <v>116</v>
      </c>
    </row>
    <row r="117" spans="2:17" ht="14" customHeight="1">
      <c r="B117" s="381" t="s">
        <v>133</v>
      </c>
      <c r="C117" s="383">
        <v>256</v>
      </c>
      <c r="D117" s="383">
        <v>171</v>
      </c>
      <c r="E117" s="383">
        <v>419</v>
      </c>
      <c r="F117" s="383">
        <v>39</v>
      </c>
      <c r="G117" s="383">
        <v>411</v>
      </c>
      <c r="H117" s="379">
        <v>1296</v>
      </c>
      <c r="I117" s="423">
        <f>H117-G117-F117</f>
        <v>846</v>
      </c>
      <c r="J117" s="426">
        <f>I117/$I$121</f>
        <v>0.57551020408163267</v>
      </c>
      <c r="Q117" s="7">
        <f>ROW()</f>
        <v>117</v>
      </c>
    </row>
    <row r="118" spans="2:17" ht="14" customHeight="1">
      <c r="B118" s="381" t="s">
        <v>49</v>
      </c>
      <c r="C118" s="383">
        <v>78</v>
      </c>
      <c r="D118" s="383">
        <v>49</v>
      </c>
      <c r="E118" s="383">
        <v>345</v>
      </c>
      <c r="F118" s="384">
        <v>1802</v>
      </c>
      <c r="G118" s="383">
        <v>25</v>
      </c>
      <c r="H118" s="379">
        <v>2299</v>
      </c>
      <c r="I118" s="423">
        <f>H118-G118-F118</f>
        <v>472</v>
      </c>
      <c r="J118" s="426">
        <f>I118/$I$121</f>
        <v>0.32108843537414966</v>
      </c>
      <c r="Q118" s="7">
        <f>ROW()</f>
        <v>118</v>
      </c>
    </row>
    <row r="119" spans="2:17" ht="14" customHeight="1">
      <c r="B119" s="381" t="s">
        <v>532</v>
      </c>
      <c r="C119" s="383"/>
      <c r="D119" s="383"/>
      <c r="E119" s="383"/>
      <c r="F119" s="383"/>
      <c r="G119" s="383">
        <v>11</v>
      </c>
      <c r="H119" s="378">
        <v>11</v>
      </c>
      <c r="I119" s="423">
        <f>H119-G119-F119</f>
        <v>0</v>
      </c>
      <c r="J119" s="426">
        <f>I119/$I$121</f>
        <v>0</v>
      </c>
      <c r="Q119" s="7">
        <f>ROW()</f>
        <v>119</v>
      </c>
    </row>
    <row r="120" spans="2:17" ht="14" customHeight="1">
      <c r="B120" s="381" t="s">
        <v>533</v>
      </c>
      <c r="C120" s="383">
        <v>827</v>
      </c>
      <c r="D120" s="383">
        <v>767</v>
      </c>
      <c r="E120" s="383">
        <v>567</v>
      </c>
      <c r="F120" s="383">
        <v>4</v>
      </c>
      <c r="G120" s="383"/>
      <c r="H120" s="379">
        <f>SUM(C120:G120)</f>
        <v>2165</v>
      </c>
      <c r="I120" s="424"/>
      <c r="J120" s="289"/>
      <c r="Q120" s="7">
        <f>ROW()</f>
        <v>120</v>
      </c>
    </row>
    <row r="121" spans="2:17" ht="14" customHeight="1">
      <c r="B121" s="377" t="s">
        <v>534</v>
      </c>
      <c r="C121" s="385">
        <v>1162</v>
      </c>
      <c r="D121" s="386">
        <v>992</v>
      </c>
      <c r="E121" s="385">
        <v>1482</v>
      </c>
      <c r="F121" s="385">
        <v>1845</v>
      </c>
      <c r="G121" s="385">
        <v>2166</v>
      </c>
      <c r="H121" s="380">
        <v>5481</v>
      </c>
      <c r="I121" s="425">
        <f>H121-G121-F121</f>
        <v>1470</v>
      </c>
      <c r="J121" s="426">
        <f>I121/$I$121</f>
        <v>1</v>
      </c>
      <c r="Q121" s="7">
        <f>ROW()</f>
        <v>121</v>
      </c>
    </row>
    <row r="122" spans="2:17" ht="14" customHeight="1">
      <c r="B122" s="91" t="s">
        <v>535</v>
      </c>
      <c r="Q122" s="7">
        <f>ROW()</f>
        <v>122</v>
      </c>
    </row>
    <row r="123" spans="2:17" ht="14" customHeight="1">
      <c r="Q123" s="7">
        <f>ROW()</f>
        <v>123</v>
      </c>
    </row>
    <row r="124" spans="2:17" ht="14" customHeight="1">
      <c r="B124" s="8" t="s">
        <v>536</v>
      </c>
      <c r="Q124" s="7">
        <f>ROW()</f>
        <v>124</v>
      </c>
    </row>
    <row r="125" spans="2:17" ht="14" customHeight="1">
      <c r="B125" s="517" t="s">
        <v>550</v>
      </c>
      <c r="Q125" s="7">
        <f>ROW()</f>
        <v>125</v>
      </c>
    </row>
    <row r="126" spans="2:17" ht="14" customHeight="1">
      <c r="B126" s="517" t="s">
        <v>551</v>
      </c>
      <c r="Q126" s="7">
        <f>ROW()</f>
        <v>126</v>
      </c>
    </row>
    <row r="127" spans="2:17" ht="14" customHeight="1">
      <c r="B127" s="517" t="s">
        <v>552</v>
      </c>
      <c r="Q127" s="7">
        <f>ROW()</f>
        <v>127</v>
      </c>
    </row>
    <row r="128" spans="2:17" ht="14" customHeight="1">
      <c r="Q128" s="7">
        <f>ROW()</f>
        <v>128</v>
      </c>
    </row>
    <row r="129" spans="2:17" ht="14" customHeight="1">
      <c r="B129" s="3" t="s">
        <v>375</v>
      </c>
      <c r="Q129" s="7">
        <f>ROW()</f>
        <v>129</v>
      </c>
    </row>
    <row r="130" spans="2:17" ht="14" customHeight="1">
      <c r="Q130" s="7">
        <f>ROW()</f>
        <v>130</v>
      </c>
    </row>
    <row r="131" spans="2:17" ht="14" customHeight="1">
      <c r="B131" s="400"/>
      <c r="C131" s="400"/>
      <c r="D131" s="400"/>
      <c r="E131" s="400"/>
      <c r="F131" s="400"/>
      <c r="G131" s="400"/>
    </row>
  </sheetData>
  <mergeCells count="18">
    <mergeCell ref="G7:M7"/>
    <mergeCell ref="O26:O34"/>
    <mergeCell ref="I114:I115"/>
    <mergeCell ref="J114:J115"/>
    <mergeCell ref="B108:K109"/>
    <mergeCell ref="B104:K105"/>
    <mergeCell ref="O84:O85"/>
    <mergeCell ref="H47:H51"/>
    <mergeCell ref="G24:L24"/>
    <mergeCell ref="B12:M14"/>
    <mergeCell ref="O38:O39"/>
    <mergeCell ref="O63:O69"/>
    <mergeCell ref="O71:O72"/>
    <mergeCell ref="P9:P10"/>
    <mergeCell ref="B101:K102"/>
    <mergeCell ref="G41:M41"/>
    <mergeCell ref="O47:O53"/>
    <mergeCell ref="O54:O62"/>
  </mergeCells>
  <phoneticPr fontId="3" type="noConversion"/>
  <printOptions gridLines="1"/>
  <pageMargins left="1.25" right="1" top="1.25" bottom="1" header="0.5" footer="0.5"/>
  <pageSetup orientation="portrait"/>
  <headerFooter alignWithMargins="0"/>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85"/>
  <sheetViews>
    <sheetView workbookViewId="0"/>
  </sheetViews>
  <sheetFormatPr baseColWidth="10" defaultColWidth="10.6640625" defaultRowHeight="14" customHeight="1" x14ac:dyDescent="0"/>
  <cols>
    <col min="1" max="1" width="2.6640625" customWidth="1"/>
    <col min="2" max="16" width="10.6640625" customWidth="1"/>
    <col min="17" max="17" width="2.33203125" customWidth="1"/>
  </cols>
  <sheetData>
    <row r="1" spans="2:17" ht="14" customHeight="1">
      <c r="B1" s="59" t="s">
        <v>548</v>
      </c>
      <c r="K1" s="237">
        <f>Summary!F3</f>
        <v>41674</v>
      </c>
      <c r="Q1" s="6">
        <f>ROW()</f>
        <v>1</v>
      </c>
    </row>
    <row r="2" spans="2:17" ht="14" customHeight="1">
      <c r="B2" s="59"/>
      <c r="K2" s="237"/>
      <c r="Q2" s="6">
        <f>ROW()</f>
        <v>2</v>
      </c>
    </row>
    <row r="3" spans="2:17" ht="14" customHeight="1">
      <c r="B3" s="59"/>
      <c r="K3" s="237"/>
      <c r="Q3" s="6">
        <f>ROW()</f>
        <v>3</v>
      </c>
    </row>
    <row r="4" spans="2:17" ht="14" customHeight="1">
      <c r="G4" s="919" t="s">
        <v>23</v>
      </c>
      <c r="H4" s="902"/>
      <c r="I4" s="902"/>
      <c r="J4" s="902"/>
      <c r="K4" s="902"/>
      <c r="L4" s="902"/>
      <c r="M4" s="902"/>
      <c r="N4" s="903"/>
      <c r="Q4" s="6">
        <f>ROW()</f>
        <v>4</v>
      </c>
    </row>
    <row r="5" spans="2:17" ht="14" customHeight="1">
      <c r="Q5" s="6">
        <f>ROW()</f>
        <v>5</v>
      </c>
    </row>
    <row r="6" spans="2:17" ht="14" customHeight="1">
      <c r="G6" s="13">
        <v>2005</v>
      </c>
      <c r="H6" s="13">
        <v>2006</v>
      </c>
      <c r="I6" s="13">
        <v>2007</v>
      </c>
      <c r="J6" s="13">
        <v>2008</v>
      </c>
      <c r="K6" s="13">
        <v>2009</v>
      </c>
      <c r="L6" s="13">
        <v>2010</v>
      </c>
      <c r="M6" s="13">
        <v>2011</v>
      </c>
      <c r="N6" s="13">
        <v>2012</v>
      </c>
      <c r="Q6" s="6">
        <f>ROW()</f>
        <v>6</v>
      </c>
    </row>
    <row r="7" spans="2:17" ht="14" customHeight="1">
      <c r="Q7" s="6">
        <f>ROW()</f>
        <v>7</v>
      </c>
    </row>
    <row r="8" spans="2:17" ht="14" customHeight="1">
      <c r="B8" s="8" t="s">
        <v>397</v>
      </c>
      <c r="C8" s="28"/>
      <c r="D8" s="28"/>
      <c r="E8" s="28"/>
      <c r="F8" s="28"/>
      <c r="G8" s="18">
        <v>4055.4</v>
      </c>
      <c r="H8" s="18">
        <f>4064702.228/1000</f>
        <v>4064.7022280000001</v>
      </c>
      <c r="I8" s="18">
        <f>4156744.724/1000</f>
        <v>4156.7447240000001</v>
      </c>
      <c r="J8" s="18">
        <f>4119387.76/1000</f>
        <v>4119.3877599999996</v>
      </c>
      <c r="K8" s="18">
        <f>3950330.927/1000</f>
        <v>3950.330927</v>
      </c>
      <c r="L8" s="18">
        <f>4125059.9/1000</f>
        <v>4125.0599000000002</v>
      </c>
      <c r="M8" s="18">
        <f>4100656.05/1000</f>
        <v>4100.6560499999996</v>
      </c>
      <c r="N8" s="18">
        <v>4054.484989</v>
      </c>
      <c r="Q8" s="6">
        <f>ROW()</f>
        <v>8</v>
      </c>
    </row>
    <row r="9" spans="2:17" ht="14" customHeight="1">
      <c r="B9" s="90" t="s">
        <v>826</v>
      </c>
      <c r="C9" s="28"/>
      <c r="D9" s="28"/>
      <c r="E9" s="28"/>
      <c r="F9" s="28"/>
      <c r="G9" s="121"/>
      <c r="H9" s="28"/>
      <c r="I9" s="121"/>
      <c r="J9" s="121"/>
      <c r="K9" s="121"/>
      <c r="L9" s="121"/>
      <c r="M9" s="121"/>
      <c r="N9" s="121"/>
      <c r="Q9" s="6">
        <f>ROW()</f>
        <v>9</v>
      </c>
    </row>
    <row r="10" spans="2:17" ht="14" customHeight="1">
      <c r="Q10" s="6">
        <f>ROW()</f>
        <v>10</v>
      </c>
    </row>
    <row r="11" spans="2:17" ht="14" customHeight="1">
      <c r="B11" s="8" t="s">
        <v>665</v>
      </c>
      <c r="Q11" s="6">
        <f>ROW()</f>
        <v>11</v>
      </c>
    </row>
    <row r="12" spans="2:17" ht="14" customHeight="1">
      <c r="B12" s="392" t="s">
        <v>48</v>
      </c>
      <c r="G12" s="170">
        <v>2012873</v>
      </c>
      <c r="H12" s="170">
        <v>1990511</v>
      </c>
      <c r="I12" s="170">
        <v>2016455.584</v>
      </c>
      <c r="J12" s="170">
        <v>1985801.247</v>
      </c>
      <c r="K12" s="170">
        <v>1755904.253</v>
      </c>
      <c r="L12" s="170">
        <v>1847290.2790000001</v>
      </c>
      <c r="M12" s="170">
        <v>1734265.4639999999</v>
      </c>
      <c r="N12" s="170">
        <v>1517202.8629999999</v>
      </c>
      <c r="Q12" s="6">
        <f>ROW()</f>
        <v>12</v>
      </c>
    </row>
    <row r="13" spans="2:17" ht="14" customHeight="1">
      <c r="B13" s="392" t="s">
        <v>387</v>
      </c>
      <c r="G13" s="170">
        <v>122225.01700000001</v>
      </c>
      <c r="H13" s="170">
        <v>64166.413999999997</v>
      </c>
      <c r="I13" s="170">
        <v>65738.978000000003</v>
      </c>
      <c r="J13" s="170">
        <v>46242.612000000001</v>
      </c>
      <c r="K13" s="170">
        <v>38936.514999999999</v>
      </c>
      <c r="L13" s="170">
        <v>37061.012999999999</v>
      </c>
      <c r="M13" s="170">
        <v>28161.93</v>
      </c>
      <c r="N13" s="170">
        <v>22899.794999999998</v>
      </c>
      <c r="Q13" s="6">
        <f>ROW()</f>
        <v>13</v>
      </c>
    </row>
    <row r="14" spans="2:17" ht="14" customHeight="1">
      <c r="B14" s="392" t="s">
        <v>133</v>
      </c>
      <c r="G14" s="170">
        <v>760960</v>
      </c>
      <c r="H14" s="170">
        <v>816441</v>
      </c>
      <c r="I14" s="170">
        <v>896590</v>
      </c>
      <c r="J14" s="170">
        <v>882980.59900000005</v>
      </c>
      <c r="K14" s="170">
        <v>920978.68099999998</v>
      </c>
      <c r="L14" s="170">
        <v>981814.68599999999</v>
      </c>
      <c r="M14" s="170">
        <v>1016594.74</v>
      </c>
      <c r="N14" s="170">
        <v>1230708.05</v>
      </c>
      <c r="Q14" s="6">
        <f>ROW()</f>
        <v>14</v>
      </c>
    </row>
    <row r="15" spans="2:17" ht="14" customHeight="1">
      <c r="B15" s="392" t="s">
        <v>388</v>
      </c>
      <c r="G15" s="170">
        <f t="shared" ref="G15:N15" si="0">SUM(G12:G14)</f>
        <v>2896058.017</v>
      </c>
      <c r="H15" s="170">
        <f t="shared" si="0"/>
        <v>2871118.4139999999</v>
      </c>
      <c r="I15" s="170">
        <f t="shared" si="0"/>
        <v>2978784.5619999999</v>
      </c>
      <c r="J15" s="170">
        <f t="shared" si="0"/>
        <v>2915024.4580000001</v>
      </c>
      <c r="K15" s="170">
        <f t="shared" si="0"/>
        <v>2715819.449</v>
      </c>
      <c r="L15" s="170">
        <f t="shared" si="0"/>
        <v>2866165.9780000001</v>
      </c>
      <c r="M15" s="170">
        <f t="shared" si="0"/>
        <v>2779022.1339999996</v>
      </c>
      <c r="N15" s="170">
        <f t="shared" si="0"/>
        <v>2770810.7079999996</v>
      </c>
      <c r="Q15" s="6">
        <f>ROW()</f>
        <v>15</v>
      </c>
    </row>
    <row r="16" spans="2:17" ht="14" customHeight="1">
      <c r="B16" s="90" t="s">
        <v>826</v>
      </c>
      <c r="F16" s="91"/>
      <c r="G16" s="91"/>
      <c r="H16" s="91"/>
      <c r="I16" s="91"/>
      <c r="J16" s="91"/>
      <c r="K16" s="91"/>
      <c r="L16" s="91"/>
      <c r="M16" s="91"/>
      <c r="N16" s="91"/>
      <c r="Q16" s="6">
        <f>ROW()</f>
        <v>16</v>
      </c>
    </row>
    <row r="17" spans="2:17" ht="14" customHeight="1">
      <c r="B17" s="90"/>
      <c r="F17" s="91"/>
      <c r="G17" s="91"/>
      <c r="H17" s="91"/>
      <c r="I17" s="91"/>
      <c r="J17" s="91"/>
      <c r="K17" s="91"/>
      <c r="L17" s="91"/>
      <c r="M17" s="91"/>
      <c r="N17" s="91"/>
      <c r="Q17" s="6">
        <f>ROW()</f>
        <v>17</v>
      </c>
    </row>
    <row r="18" spans="2:17" ht="14" customHeight="1">
      <c r="B18" s="8" t="s">
        <v>660</v>
      </c>
      <c r="F18" s="91"/>
      <c r="G18" s="498">
        <f t="shared" ref="G18:N18" si="1">G15/(G8*1000)</f>
        <v>0.71412388839571928</v>
      </c>
      <c r="H18" s="498">
        <f t="shared" si="1"/>
        <v>0.70635393515965073</v>
      </c>
      <c r="I18" s="498">
        <f t="shared" si="1"/>
        <v>0.71661474538026015</v>
      </c>
      <c r="J18" s="498">
        <f t="shared" si="1"/>
        <v>0.70763536424160278</v>
      </c>
      <c r="K18" s="498">
        <f t="shared" si="1"/>
        <v>0.68749163024234905</v>
      </c>
      <c r="L18" s="498">
        <f t="shared" si="1"/>
        <v>0.69481802627884259</v>
      </c>
      <c r="M18" s="498">
        <f t="shared" si="1"/>
        <v>0.67770183602694489</v>
      </c>
      <c r="N18" s="498">
        <f t="shared" si="1"/>
        <v>0.68339399837891457</v>
      </c>
      <c r="Q18" s="6">
        <f>ROW()</f>
        <v>18</v>
      </c>
    </row>
    <row r="19" spans="2:17" ht="14" customHeight="1">
      <c r="B19" s="90" t="str">
        <f>CONCATENATE("Ratio of Row ",Q15, " to Row ",Q8, ", x 1,000.")</f>
        <v>Ratio of Row 15 to Row 8, x 1,000.</v>
      </c>
      <c r="F19" s="91"/>
      <c r="G19" s="91"/>
      <c r="H19" s="91"/>
      <c r="I19" s="91"/>
      <c r="J19" s="91"/>
      <c r="K19" s="91"/>
      <c r="L19" s="91"/>
      <c r="M19" s="91"/>
      <c r="N19" s="91"/>
      <c r="Q19" s="6">
        <f>ROW()</f>
        <v>19</v>
      </c>
    </row>
    <row r="20" spans="2:17" ht="14" customHeight="1">
      <c r="E20" s="91"/>
      <c r="F20" s="91"/>
      <c r="G20" s="91"/>
      <c r="H20" s="91"/>
      <c r="I20" s="91"/>
      <c r="J20" s="91"/>
      <c r="K20" s="91"/>
      <c r="L20" s="91"/>
      <c r="M20" s="91"/>
      <c r="N20" s="91"/>
      <c r="Q20" s="6">
        <f>ROW()</f>
        <v>20</v>
      </c>
    </row>
    <row r="21" spans="2:17" ht="14" customHeight="1">
      <c r="B21" s="8" t="s">
        <v>549</v>
      </c>
      <c r="Q21" s="6">
        <f>ROW()</f>
        <v>21</v>
      </c>
    </row>
    <row r="22" spans="2:17" ht="14" customHeight="1">
      <c r="B22" s="392" t="s">
        <v>178</v>
      </c>
      <c r="G22" s="22">
        <v>9159.2639999999992</v>
      </c>
      <c r="H22" s="22">
        <v>9232.6610000000001</v>
      </c>
      <c r="I22" s="22">
        <v>9290.3490000000002</v>
      </c>
      <c r="J22" s="22">
        <v>8989.2279999999992</v>
      </c>
      <c r="K22" s="22">
        <v>8986.1110000000008</v>
      </c>
      <c r="L22" s="22">
        <v>9034.3259999999991</v>
      </c>
      <c r="M22" s="22">
        <v>8736.1880000000001</v>
      </c>
      <c r="N22" s="22">
        <v>8703.0380000000005</v>
      </c>
      <c r="Q22" s="6">
        <f>ROW()</f>
        <v>22</v>
      </c>
    </row>
    <row r="23" spans="2:17" ht="14" customHeight="1">
      <c r="B23" s="392" t="s">
        <v>555</v>
      </c>
      <c r="G23" s="22">
        <f>1678.99+19.195</f>
        <v>1698.1849999999999</v>
      </c>
      <c r="H23" s="22">
        <f>1632.9+18.15</f>
        <v>1651.0500000000002</v>
      </c>
      <c r="I23" s="22">
        <f>1622.386+17.145</f>
        <v>1639.5309999999999</v>
      </c>
      <c r="J23" s="22">
        <f>1538.554+15.309</f>
        <v>1553.8630000000001</v>
      </c>
      <c r="K23" s="22">
        <f>1393.19+14.41</f>
        <v>1407.6000000000001</v>
      </c>
      <c r="L23" s="22">
        <f>1431.649+13.774</f>
        <v>1445.4229999999998</v>
      </c>
      <c r="M23" s="22">
        <f>1425.34+14.68</f>
        <v>1440.02</v>
      </c>
      <c r="N23" s="22">
        <f>1399.46+13.6</f>
        <v>1413.06</v>
      </c>
      <c r="Q23" s="6">
        <f>ROW()</f>
        <v>23</v>
      </c>
    </row>
    <row r="24" spans="2:17" ht="14" customHeight="1">
      <c r="B24" s="392" t="s">
        <v>181</v>
      </c>
      <c r="G24" s="22">
        <v>919.97</v>
      </c>
      <c r="H24" s="22">
        <v>688.84</v>
      </c>
      <c r="I24" s="22">
        <v>722.9</v>
      </c>
      <c r="J24" s="22">
        <v>622.19000000000005</v>
      </c>
      <c r="K24" s="22">
        <v>511.11</v>
      </c>
      <c r="L24" s="22">
        <v>535.09</v>
      </c>
      <c r="M24" s="22">
        <v>461.07</v>
      </c>
      <c r="N24" s="22">
        <v>344.815</v>
      </c>
      <c r="Q24" s="6">
        <f>ROW()</f>
        <v>24</v>
      </c>
    </row>
    <row r="25" spans="2:17" ht="14" customHeight="1">
      <c r="B25" s="392" t="s">
        <v>189</v>
      </c>
      <c r="G25" s="22">
        <v>4118.01</v>
      </c>
      <c r="H25" s="22">
        <v>4169.12</v>
      </c>
      <c r="I25" s="22">
        <v>4195.91</v>
      </c>
      <c r="J25" s="22">
        <v>3945.41</v>
      </c>
      <c r="K25" s="22">
        <v>3631.08</v>
      </c>
      <c r="L25" s="22">
        <v>3800.31</v>
      </c>
      <c r="M25" s="22">
        <v>3898.85</v>
      </c>
      <c r="N25" s="22">
        <v>3742.7179999999998</v>
      </c>
      <c r="Q25" s="6">
        <f>ROW()</f>
        <v>25</v>
      </c>
    </row>
    <row r="26" spans="2:17" ht="14" customHeight="1">
      <c r="B26" s="392" t="s">
        <v>179</v>
      </c>
      <c r="G26" s="22">
        <v>20802.16</v>
      </c>
      <c r="H26" s="22">
        <v>20687.41</v>
      </c>
      <c r="I26" s="22">
        <v>20680.37</v>
      </c>
      <c r="J26" s="22">
        <v>19497.964</v>
      </c>
      <c r="K26" s="22">
        <v>18771.39</v>
      </c>
      <c r="L26" s="22">
        <v>19180.12</v>
      </c>
      <c r="M26" s="22">
        <v>18949.45</v>
      </c>
      <c r="N26" s="22">
        <v>18554.57</v>
      </c>
      <c r="Q26" s="6">
        <f>ROW()</f>
        <v>26</v>
      </c>
    </row>
    <row r="27" spans="2:17" ht="14" customHeight="1">
      <c r="B27" s="392" t="s">
        <v>180</v>
      </c>
      <c r="G27" s="22">
        <f t="shared" ref="G27:N27" si="2">G26-G22-G23-G24</f>
        <v>9024.7410000000018</v>
      </c>
      <c r="H27" s="22">
        <f t="shared" si="2"/>
        <v>9114.8590000000004</v>
      </c>
      <c r="I27" s="22">
        <f t="shared" si="2"/>
        <v>9027.5899999999983</v>
      </c>
      <c r="J27" s="22">
        <f t="shared" si="2"/>
        <v>8332.6830000000009</v>
      </c>
      <c r="K27" s="22">
        <f t="shared" si="2"/>
        <v>7866.5689999999986</v>
      </c>
      <c r="L27" s="22">
        <f t="shared" si="2"/>
        <v>8165.280999999999</v>
      </c>
      <c r="M27" s="22">
        <f t="shared" si="2"/>
        <v>8312.1720000000005</v>
      </c>
      <c r="N27" s="22">
        <f t="shared" si="2"/>
        <v>8093.6570000000002</v>
      </c>
      <c r="Q27" s="6">
        <f>ROW()</f>
        <v>27</v>
      </c>
    </row>
    <row r="28" spans="2:17" ht="14" customHeight="1">
      <c r="B28" s="392" t="s">
        <v>682</v>
      </c>
      <c r="G28" s="22">
        <v>1500</v>
      </c>
      <c r="H28" s="22">
        <f t="shared" ref="H28:N28" si="3">G28</f>
        <v>1500</v>
      </c>
      <c r="I28" s="22">
        <f t="shared" si="3"/>
        <v>1500</v>
      </c>
      <c r="J28" s="22">
        <f t="shared" si="3"/>
        <v>1500</v>
      </c>
      <c r="K28" s="22">
        <f t="shared" si="3"/>
        <v>1500</v>
      </c>
      <c r="L28" s="22">
        <f t="shared" si="3"/>
        <v>1500</v>
      </c>
      <c r="M28" s="22">
        <f t="shared" si="3"/>
        <v>1500</v>
      </c>
      <c r="N28" s="22">
        <f t="shared" si="3"/>
        <v>1500</v>
      </c>
      <c r="Q28" s="6">
        <f>ROW()</f>
        <v>28</v>
      </c>
    </row>
    <row r="29" spans="2:17" ht="14" customHeight="1">
      <c r="B29" s="90" t="s">
        <v>825</v>
      </c>
      <c r="Q29" s="6">
        <f>ROW()</f>
        <v>29</v>
      </c>
    </row>
    <row r="30" spans="2:17" ht="14" customHeight="1">
      <c r="Q30" s="6">
        <f>ROW()</f>
        <v>30</v>
      </c>
    </row>
    <row r="31" spans="2:17" ht="14" customHeight="1">
      <c r="B31" s="8" t="s">
        <v>653</v>
      </c>
      <c r="Q31" s="6">
        <f>ROW()</f>
        <v>31</v>
      </c>
    </row>
    <row r="32" spans="2:17" ht="14" customHeight="1">
      <c r="F32" s="822" t="s">
        <v>654</v>
      </c>
      <c r="G32" s="13">
        <v>2005</v>
      </c>
      <c r="H32" s="13">
        <v>2006</v>
      </c>
      <c r="I32" s="13">
        <v>2007</v>
      </c>
      <c r="J32" s="13">
        <v>2008</v>
      </c>
      <c r="K32" s="13">
        <v>2009</v>
      </c>
      <c r="L32" s="13">
        <v>2010</v>
      </c>
      <c r="M32" s="13">
        <v>2011</v>
      </c>
      <c r="N32" s="13">
        <v>2012</v>
      </c>
      <c r="Q32" s="6">
        <f>ROW()</f>
        <v>32</v>
      </c>
    </row>
    <row r="33" spans="2:17" ht="14" customHeight="1">
      <c r="B33" s="32" t="s">
        <v>200</v>
      </c>
      <c r="F33" s="936"/>
      <c r="G33" s="66">
        <v>85.794210000000007</v>
      </c>
      <c r="H33" s="66">
        <v>84.702029999999993</v>
      </c>
      <c r="I33" s="66">
        <v>86.211370000000002</v>
      </c>
      <c r="J33" s="66">
        <v>83.548839999999998</v>
      </c>
      <c r="K33" s="66">
        <v>78.487589999999997</v>
      </c>
      <c r="L33" s="66">
        <v>81.369100000000003</v>
      </c>
      <c r="M33" s="66">
        <v>79.999020000000002</v>
      </c>
      <c r="N33" s="66">
        <v>78.017212000000001</v>
      </c>
      <c r="O33" s="66"/>
      <c r="Q33" s="6">
        <f>ROW()</f>
        <v>33</v>
      </c>
    </row>
    <row r="34" spans="2:17" ht="14" customHeight="1">
      <c r="B34" s="32" t="s">
        <v>201</v>
      </c>
      <c r="E34" s="90"/>
      <c r="F34" s="936"/>
      <c r="G34" s="66">
        <v>22.565359999999998</v>
      </c>
      <c r="H34" s="66">
        <v>22.23873</v>
      </c>
      <c r="I34" s="66">
        <v>23.662749999999999</v>
      </c>
      <c r="J34" s="66">
        <v>23.842949999999998</v>
      </c>
      <c r="K34" s="66">
        <v>23.415929999999999</v>
      </c>
      <c r="L34" s="66">
        <v>24.574750000000002</v>
      </c>
      <c r="M34" s="66">
        <v>24.85962</v>
      </c>
      <c r="N34" s="66">
        <v>25.954015999999999</v>
      </c>
      <c r="O34" s="66"/>
      <c r="Q34" s="6">
        <f>ROW()</f>
        <v>34</v>
      </c>
    </row>
    <row r="35" spans="2:17" ht="14" customHeight="1">
      <c r="B35" s="32" t="s">
        <v>202</v>
      </c>
      <c r="E35" s="90"/>
      <c r="F35" s="936"/>
      <c r="G35" s="66">
        <v>22.79654</v>
      </c>
      <c r="H35" s="66">
        <v>22.44716</v>
      </c>
      <c r="I35" s="66">
        <v>22.749459999999999</v>
      </c>
      <c r="J35" s="66">
        <v>22.385190000000001</v>
      </c>
      <c r="K35" s="66">
        <v>19.692202999999999</v>
      </c>
      <c r="L35" s="66">
        <v>20.790970000000002</v>
      </c>
      <c r="M35" s="66">
        <v>19.662790000000001</v>
      </c>
      <c r="N35" s="66">
        <v>17.371549999999999</v>
      </c>
      <c r="O35" s="66"/>
      <c r="Q35" s="6">
        <f>ROW()</f>
        <v>35</v>
      </c>
    </row>
    <row r="36" spans="2:17" ht="14" customHeight="1">
      <c r="B36" s="32" t="s">
        <v>203</v>
      </c>
      <c r="E36" s="90"/>
      <c r="F36" s="931"/>
      <c r="G36" s="66">
        <v>40.388109999999998</v>
      </c>
      <c r="H36" s="66">
        <v>39.955350000000003</v>
      </c>
      <c r="I36" s="66">
        <v>39.773960000000002</v>
      </c>
      <c r="J36" s="66">
        <v>37.279910000000001</v>
      </c>
      <c r="K36" s="66">
        <v>35.403260000000003</v>
      </c>
      <c r="L36" s="66">
        <v>36.009540000000001</v>
      </c>
      <c r="M36" s="66">
        <v>35.465490000000003</v>
      </c>
      <c r="N36" s="66">
        <v>34.687662000000003</v>
      </c>
      <c r="O36" s="66"/>
      <c r="Q36" s="6">
        <f>ROW()</f>
        <v>36</v>
      </c>
    </row>
    <row r="37" spans="2:17" ht="14" customHeight="1">
      <c r="B37" s="32"/>
      <c r="E37" s="90"/>
      <c r="I37" s="66"/>
      <c r="J37" s="66"/>
      <c r="K37" s="66"/>
      <c r="L37" s="66"/>
      <c r="M37" s="66"/>
      <c r="N37" s="66"/>
      <c r="Q37" s="6">
        <f>ROW()</f>
        <v>37</v>
      </c>
    </row>
    <row r="38" spans="2:17" ht="14" customHeight="1">
      <c r="B38" s="8" t="s">
        <v>559</v>
      </c>
      <c r="E38" s="90"/>
      <c r="I38" s="66"/>
      <c r="J38" s="66"/>
      <c r="K38" s="66"/>
      <c r="L38" s="66"/>
      <c r="M38" s="66"/>
      <c r="N38" s="66"/>
      <c r="Q38" s="6">
        <f>ROW()</f>
        <v>38</v>
      </c>
    </row>
    <row r="39" spans="2:17" ht="14" customHeight="1">
      <c r="D39" s="935" t="s">
        <v>212</v>
      </c>
      <c r="E39" s="935"/>
      <c r="Q39" s="6">
        <f>ROW()</f>
        <v>39</v>
      </c>
    </row>
    <row r="40" spans="2:17" ht="14" customHeight="1">
      <c r="B40" s="32" t="s">
        <v>560</v>
      </c>
      <c r="D40" s="401">
        <v>11000</v>
      </c>
      <c r="E40" s="415" t="s">
        <v>213</v>
      </c>
      <c r="F40" s="933" t="s">
        <v>563</v>
      </c>
      <c r="G40" s="22">
        <v>1065280.79</v>
      </c>
      <c r="H40" s="22">
        <v>1053783.42</v>
      </c>
      <c r="I40" s="22">
        <v>1069605.5</v>
      </c>
      <c r="J40" s="22">
        <v>1064502.8</v>
      </c>
      <c r="K40" s="22">
        <v>955190.27</v>
      </c>
      <c r="L40" s="22">
        <v>1001410.88</v>
      </c>
      <c r="M40" s="22">
        <v>956470.26</v>
      </c>
      <c r="N40" s="22">
        <v>847023.076</v>
      </c>
      <c r="Q40" s="6">
        <f>ROW()</f>
        <v>40</v>
      </c>
    </row>
    <row r="41" spans="2:17" ht="14" customHeight="1">
      <c r="B41" s="32" t="s">
        <v>561</v>
      </c>
      <c r="D41" s="401">
        <v>6000000</v>
      </c>
      <c r="E41" s="415" t="s">
        <v>214</v>
      </c>
      <c r="F41" s="934"/>
      <c r="G41" s="22">
        <v>231193.4</v>
      </c>
      <c r="H41" s="22">
        <v>131005.36</v>
      </c>
      <c r="I41" s="22">
        <v>132389.25</v>
      </c>
      <c r="J41" s="22">
        <v>92948.37</v>
      </c>
      <c r="K41" s="22">
        <v>80829.58</v>
      </c>
      <c r="L41" s="22">
        <v>75231.12</v>
      </c>
      <c r="M41" s="22">
        <v>61609.78</v>
      </c>
      <c r="N41" s="22">
        <v>49287.167000000001</v>
      </c>
      <c r="Q41" s="6">
        <f>ROW()</f>
        <v>41</v>
      </c>
    </row>
    <row r="42" spans="2:17" ht="14" customHeight="1">
      <c r="B42" s="32" t="s">
        <v>562</v>
      </c>
      <c r="D42" s="401">
        <v>1029</v>
      </c>
      <c r="E42" s="415" t="s">
        <v>215</v>
      </c>
      <c r="F42" s="934"/>
      <c r="G42" s="22">
        <v>7020.7</v>
      </c>
      <c r="H42" s="22">
        <v>7404.43</v>
      </c>
      <c r="I42" s="22">
        <v>7961.92</v>
      </c>
      <c r="J42" s="22">
        <v>7689.37</v>
      </c>
      <c r="K42" s="22">
        <v>7937.85</v>
      </c>
      <c r="L42" s="22">
        <v>8501.9599999999991</v>
      </c>
      <c r="M42" s="22">
        <v>8723.5400000000009</v>
      </c>
      <c r="N42" s="22">
        <v>10370.137000000001</v>
      </c>
      <c r="Q42" s="6">
        <f>ROW()</f>
        <v>42</v>
      </c>
    </row>
    <row r="43" spans="2:17" ht="14" customHeight="1">
      <c r="Q43" s="6">
        <f>ROW()</f>
        <v>43</v>
      </c>
    </row>
    <row r="44" spans="2:17" ht="14" customHeight="1">
      <c r="B44" s="32" t="s">
        <v>686</v>
      </c>
      <c r="G44" s="21">
        <f t="shared" ref="G44:N44" si="4">G40*1000*$D40*2000/1000000000000000</f>
        <v>23.43617738</v>
      </c>
      <c r="H44" s="21">
        <f t="shared" si="4"/>
        <v>23.183235239999995</v>
      </c>
      <c r="I44" s="21">
        <f t="shared" si="4"/>
        <v>23.531320999999998</v>
      </c>
      <c r="J44" s="21">
        <f t="shared" si="4"/>
        <v>23.419061599999999</v>
      </c>
      <c r="K44" s="21">
        <f t="shared" si="4"/>
        <v>21.014185940000001</v>
      </c>
      <c r="L44" s="21">
        <f t="shared" si="4"/>
        <v>22.031039360000001</v>
      </c>
      <c r="M44" s="21">
        <f t="shared" si="4"/>
        <v>21.04234572</v>
      </c>
      <c r="N44" s="21">
        <f t="shared" si="4"/>
        <v>18.634507672000002</v>
      </c>
      <c r="Q44" s="6">
        <f>ROW()</f>
        <v>44</v>
      </c>
    </row>
    <row r="45" spans="2:17" ht="14" customHeight="1">
      <c r="B45" s="32" t="s">
        <v>687</v>
      </c>
      <c r="G45" s="21">
        <f t="shared" ref="G45:N45" si="5">G41*1000*$D41/1000000000000000</f>
        <v>1.3871604</v>
      </c>
      <c r="H45" s="21">
        <f t="shared" si="5"/>
        <v>0.78603215999999998</v>
      </c>
      <c r="I45" s="21">
        <f t="shared" si="5"/>
        <v>0.79433549999999997</v>
      </c>
      <c r="J45" s="21">
        <f t="shared" si="5"/>
        <v>0.55769022000000001</v>
      </c>
      <c r="K45" s="21">
        <f t="shared" si="5"/>
        <v>0.48497748000000002</v>
      </c>
      <c r="L45" s="21">
        <f t="shared" si="5"/>
        <v>0.45138672000000002</v>
      </c>
      <c r="M45" s="21">
        <f t="shared" si="5"/>
        <v>0.36965868000000002</v>
      </c>
      <c r="N45" s="21">
        <f t="shared" si="5"/>
        <v>0.29572300200000001</v>
      </c>
      <c r="Q45" s="6">
        <f>ROW()</f>
        <v>45</v>
      </c>
    </row>
    <row r="46" spans="2:17" ht="14" customHeight="1">
      <c r="B46" s="32" t="s">
        <v>688</v>
      </c>
      <c r="G46" s="21">
        <f t="shared" ref="G46:N46" si="6">G42*1000000000*$D42/1000000000000000</f>
        <v>7.2243003000000003</v>
      </c>
      <c r="H46" s="21">
        <f t="shared" si="6"/>
        <v>7.6191584700000003</v>
      </c>
      <c r="I46" s="21">
        <f t="shared" si="6"/>
        <v>8.1928156800000007</v>
      </c>
      <c r="J46" s="21">
        <f t="shared" si="6"/>
        <v>7.9123617299999998</v>
      </c>
      <c r="K46" s="21">
        <f t="shared" si="6"/>
        <v>8.1680476500000001</v>
      </c>
      <c r="L46" s="21">
        <f t="shared" si="6"/>
        <v>8.7485168399999989</v>
      </c>
      <c r="M46" s="21">
        <f t="shared" si="6"/>
        <v>8.9765226600000005</v>
      </c>
      <c r="N46" s="21">
        <f t="shared" si="6"/>
        <v>10.670870973</v>
      </c>
      <c r="Q46" s="6">
        <f>ROW()</f>
        <v>46</v>
      </c>
    </row>
    <row r="47" spans="2:17" ht="14" customHeight="1">
      <c r="Q47" s="6">
        <f>ROW()</f>
        <v>47</v>
      </c>
    </row>
    <row r="48" spans="2:17" ht="14" customHeight="1">
      <c r="B48" s="8" t="s">
        <v>204</v>
      </c>
      <c r="G48" s="29">
        <f t="shared" ref="G48:N48" si="7">SUM(G44:G46)</f>
        <v>32.047638079999999</v>
      </c>
      <c r="H48" s="29">
        <f t="shared" si="7"/>
        <v>31.588425869999995</v>
      </c>
      <c r="I48" s="29">
        <f t="shared" si="7"/>
        <v>32.518472179999996</v>
      </c>
      <c r="J48" s="29">
        <f t="shared" si="7"/>
        <v>31.889113550000001</v>
      </c>
      <c r="K48" s="29">
        <f t="shared" si="7"/>
        <v>29.66721107</v>
      </c>
      <c r="L48" s="29">
        <f t="shared" si="7"/>
        <v>31.230942919999997</v>
      </c>
      <c r="M48" s="29">
        <f t="shared" si="7"/>
        <v>30.388527060000001</v>
      </c>
      <c r="N48" s="29">
        <f t="shared" si="7"/>
        <v>29.601101647</v>
      </c>
      <c r="Q48" s="6">
        <f>ROW()</f>
        <v>48</v>
      </c>
    </row>
    <row r="49" spans="2:17" ht="14" customHeight="1">
      <c r="B49" s="8" t="s">
        <v>208</v>
      </c>
      <c r="G49" s="29">
        <f>((Emissions!G74*1000000*1000000)/(Emissions!$J99*Parameters!$H$13)*'Personal Ground Travel'!$K$25/1000000000000000)</f>
        <v>16.702960298685202</v>
      </c>
      <c r="I49" s="29">
        <f>((Emissions!I74*1000000*1000000)/(Emissions!$J99*Parameters!$H$13)*'Personal Ground Travel'!$K$25/1000000000000000)</f>
        <v>16.271825262717453</v>
      </c>
      <c r="J49" s="29">
        <f>((Emissions!J74*1000000*1000000)/(Emissions!$J99*Parameters!$H$13)*'Personal Ground Travel'!$K$25/1000000000000000)</f>
        <v>15.485637844188032</v>
      </c>
      <c r="K49" s="29">
        <f>((Emissions!K74*1000000*1000000)/(Emissions!$J99*Parameters!$H$13)*'Personal Ground Travel'!$K$25/1000000000000000)</f>
        <v>15.543404303255601</v>
      </c>
      <c r="L49" s="29">
        <f>((Emissions!L74*1000000*1000000)/(Emissions!$J99*Parameters!$H$13)*'Personal Ground Travel'!$K$25/1000000000000000)</f>
        <v>15.502545100500486</v>
      </c>
      <c r="M49" s="29">
        <f>((Emissions!M74*1000000*1000000)/(Emissions!$J99*Parameters!$H$13)*'Personal Ground Travel'!$K$25/1000000000000000)</f>
        <v>15.147492717938814</v>
      </c>
      <c r="N49" s="29">
        <f>((Emissions!N74*1000000*1000000)/(Emissions!$J99*Parameters!$H$13)*'Personal Ground Travel'!$K$25/1000000000000000)</f>
        <v>15.080003823240817</v>
      </c>
      <c r="Q49" s="6">
        <f>ROW()</f>
        <v>49</v>
      </c>
    </row>
    <row r="50" spans="2:17" ht="14" customHeight="1">
      <c r="B50" s="8" t="s">
        <v>209</v>
      </c>
      <c r="G50" s="29">
        <f>((Emissions!G78*1000000*1000000)/(Emissions!$J$100*Parameters!$H$13)*Freight!$K$25/1000000000000000)</f>
        <v>7.1006364945349816</v>
      </c>
      <c r="I50" s="29">
        <f>((Emissions!I78*1000000*1000000)/(Emissions!$J$100*Parameters!$H$13)*Freight!$K$25/1000000000000000)</f>
        <v>7.7446635437996143</v>
      </c>
      <c r="J50" s="29">
        <f>((Emissions!J78*1000000*1000000)/(Emissions!$J$100*Parameters!$H$13)*Freight!$K$25/1000000000000000)</f>
        <v>7.3089581404916162</v>
      </c>
      <c r="K50" s="29">
        <f>((Emissions!K78*1000000*1000000)/(Emissions!$J$100*Parameters!$H$13)*Freight!$K$25/1000000000000000)</f>
        <v>6.5682589548680257</v>
      </c>
      <c r="L50" s="29">
        <f>((Emissions!L78*1000000*1000000)/(Emissions!$J$100*Parameters!$H$13)*Freight!$K$25/1000000000000000)</f>
        <v>6.8732527371836216</v>
      </c>
      <c r="M50" s="29">
        <f>((Emissions!M78*1000000*1000000)/(Emissions!$J$100*Parameters!$H$13)*Freight!$K$25/1000000000000000)</f>
        <v>6.9767327704692734</v>
      </c>
      <c r="N50" s="29">
        <f>((Emissions!N78*1000000*1000000)/(Emissions!$J$100*Parameters!$H$13)*Freight!$K$25/1000000000000000)</f>
        <v>6.7512820946085839</v>
      </c>
      <c r="Q50" s="6">
        <f>ROW()</f>
        <v>50</v>
      </c>
    </row>
    <row r="51" spans="2:17" ht="14" customHeight="1">
      <c r="B51" s="8" t="s">
        <v>210</v>
      </c>
      <c r="G51" s="29">
        <f>((Emissions!G81*1000000*1000000)/(Emissions!$J$106*Parameters!$H$13)*Aviation!$K$25/1000000000000000)</f>
        <v>3.3178683385579939</v>
      </c>
      <c r="I51" s="29">
        <f>((Emissions!I81*1000000*1000000)/(Emissions!$J$106*Parameters!$H$13)*Aviation!$K$25/1000000000000000)</f>
        <v>3.224764890282132</v>
      </c>
      <c r="J51" s="29">
        <f>((Emissions!J81*1000000*1000000)/(Emissions!$J$106*Parameters!$H$13)*Aviation!$K$25/1000000000000000)</f>
        <v>3.051253918495298</v>
      </c>
      <c r="K51" s="29">
        <f>((Emissions!K81*1000000*1000000)/(Emissions!$J$106*Parameters!$H$13)*Aviation!$K$25/1000000000000000)</f>
        <v>2.7648902821316614</v>
      </c>
      <c r="L51" s="29">
        <f>((Emissions!L81*1000000*1000000)/(Emissions!$J$106*Parameters!$H$13)*Aviation!$K$25/1000000000000000)</f>
        <v>2.8692789968652042</v>
      </c>
      <c r="M51" s="29">
        <f>((Emissions!M81*1000000*1000000)/(Emissions!$J$106*Parameters!$H$13)*Aviation!$K$25/1000000000000000)</f>
        <v>2.8721003134796237</v>
      </c>
      <c r="N51" s="29">
        <f>((Emissions!N81*1000000*1000000)/(Emissions!$J$106*Parameters!$H$13)*Aviation!$K$25/1000000000000000)</f>
        <v>2.8183289599904984</v>
      </c>
      <c r="Q51" s="6">
        <f>ROW()</f>
        <v>51</v>
      </c>
    </row>
    <row r="52" spans="2:17" ht="14" customHeight="1">
      <c r="B52" s="8" t="s">
        <v>683</v>
      </c>
      <c r="G52" s="29">
        <v>5.4504000000000001</v>
      </c>
      <c r="H52" s="29">
        <f>H28*Parameters!$H$18*$O$79*1000000/1000000000000</f>
        <v>3.01125</v>
      </c>
      <c r="I52" s="29">
        <v>5.2728999999999999</v>
      </c>
      <c r="J52" s="29">
        <v>4.9002999999999997</v>
      </c>
      <c r="K52" s="29">
        <v>4.5269000000000004</v>
      </c>
      <c r="L52" s="29">
        <v>4.8037999999999998</v>
      </c>
      <c r="M52" s="29">
        <v>4.7476000000000003</v>
      </c>
      <c r="N52" s="515">
        <f>M52</f>
        <v>4.7476000000000003</v>
      </c>
      <c r="Q52" s="6">
        <f>ROW()</f>
        <v>52</v>
      </c>
    </row>
    <row r="53" spans="2:17" ht="14" customHeight="1">
      <c r="B53" s="8" t="s">
        <v>211</v>
      </c>
      <c r="G53" s="29">
        <f>G33-SUM(G48:G52)</f>
        <v>21.17470678822184</v>
      </c>
      <c r="I53" s="29">
        <f t="shared" ref="I53:N53" si="8">I33-SUM(I48:I52)</f>
        <v>21.178744123200815</v>
      </c>
      <c r="J53" s="29">
        <f t="shared" si="8"/>
        <v>20.913576546825048</v>
      </c>
      <c r="K53" s="29">
        <f t="shared" si="8"/>
        <v>19.416925389744712</v>
      </c>
      <c r="L53" s="29">
        <f t="shared" si="8"/>
        <v>20.089280245450695</v>
      </c>
      <c r="M53" s="29">
        <f t="shared" si="8"/>
        <v>19.866567138112288</v>
      </c>
      <c r="N53" s="29">
        <f t="shared" si="8"/>
        <v>19.018895475160107</v>
      </c>
      <c r="Q53" s="6">
        <f>ROW()</f>
        <v>53</v>
      </c>
    </row>
    <row r="54" spans="2:17" ht="14" customHeight="1">
      <c r="B54" s="768" t="str">
        <f>CONCATENATE("Electricity quads are sums of Rows ",Q44,"-",Q46,". Next three rows use pertinent material from 'Emissions' tab. Non-combustion quads are copied from "&amp;"USEPA, 'Draft Inventory of U.S. Greenhouse Gas Emissions and sinks, 1990-2011,' Table 3-20: Adjusted Consumption of Fossil Fuels for Non-Energy Uses. 2012 figure is set equal to 2011. 'Other' is Row ",Q33, " less sum of Rows ",Q48, "-",Q52, ".")</f>
        <v>Electricity quads are sums of Rows 44-46. Next three rows use pertinent material from 'Emissions' tab. Non-combustion quads are copied from USEPA, 'Draft Inventory of U.S. Greenhouse Gas Emissions and sinks, 1990-2011,' Table 3-20: Adjusted Consumption of Fossil Fuels for Non-Energy Uses. 2012 figure is set equal to 2011. 'Other' is Row 33 less sum of Rows 48-52.</v>
      </c>
      <c r="C54" s="738"/>
      <c r="D54" s="738"/>
      <c r="E54" s="738"/>
      <c r="F54" s="738"/>
      <c r="G54" s="738"/>
      <c r="H54" s="738"/>
      <c r="I54" s="738"/>
      <c r="J54" s="738"/>
      <c r="K54" s="738"/>
      <c r="L54" s="738"/>
      <c r="M54" s="738"/>
      <c r="N54" s="738"/>
      <c r="Q54" s="6">
        <f>ROW()</f>
        <v>54</v>
      </c>
    </row>
    <row r="55" spans="2:17" ht="14" customHeight="1">
      <c r="B55" s="738"/>
      <c r="C55" s="738"/>
      <c r="D55" s="738"/>
      <c r="E55" s="738"/>
      <c r="F55" s="738"/>
      <c r="G55" s="738"/>
      <c r="H55" s="738"/>
      <c r="I55" s="738"/>
      <c r="J55" s="738"/>
      <c r="K55" s="738"/>
      <c r="L55" s="738"/>
      <c r="M55" s="738"/>
      <c r="N55" s="738"/>
      <c r="Q55" s="6">
        <f>ROW()</f>
        <v>55</v>
      </c>
    </row>
    <row r="56" spans="2:17" ht="14" customHeight="1">
      <c r="B56" s="182"/>
      <c r="C56" s="182"/>
      <c r="D56" s="182"/>
      <c r="E56" s="182"/>
      <c r="F56" s="182"/>
      <c r="G56" s="182"/>
      <c r="H56" s="182"/>
      <c r="I56" s="182"/>
      <c r="J56" s="182"/>
      <c r="K56" s="182"/>
      <c r="L56" s="182"/>
      <c r="M56" s="182"/>
      <c r="N56" s="182"/>
      <c r="Q56" s="6">
        <f>ROW()</f>
        <v>56</v>
      </c>
    </row>
    <row r="57" spans="2:17" ht="14" customHeight="1">
      <c r="B57" s="8" t="s">
        <v>566</v>
      </c>
      <c r="I57" s="13">
        <f t="shared" ref="I57:N57" si="9">I32</f>
        <v>2007</v>
      </c>
      <c r="J57" s="13">
        <f t="shared" si="9"/>
        <v>2008</v>
      </c>
      <c r="K57" s="13">
        <f t="shared" si="9"/>
        <v>2009</v>
      </c>
      <c r="L57" s="13">
        <f t="shared" si="9"/>
        <v>2010</v>
      </c>
      <c r="M57" s="13">
        <f t="shared" si="9"/>
        <v>2011</v>
      </c>
      <c r="N57" s="13">
        <f t="shared" si="9"/>
        <v>2012</v>
      </c>
      <c r="Q57" s="6">
        <f>ROW()</f>
        <v>57</v>
      </c>
    </row>
    <row r="58" spans="2:17" ht="14" customHeight="1">
      <c r="B58" s="134" t="s">
        <v>55</v>
      </c>
      <c r="I58" s="416">
        <v>13.08</v>
      </c>
      <c r="J58" s="416">
        <v>13.89</v>
      </c>
      <c r="K58" s="416">
        <v>12.14</v>
      </c>
      <c r="L58" s="416">
        <v>11.39</v>
      </c>
      <c r="M58" s="416">
        <v>11.03</v>
      </c>
      <c r="N58" s="416">
        <v>10.68</v>
      </c>
      <c r="Q58" s="6">
        <f>ROW()</f>
        <v>58</v>
      </c>
    </row>
    <row r="59" spans="2:17" ht="14" customHeight="1">
      <c r="B59" s="134" t="s">
        <v>56</v>
      </c>
      <c r="I59" s="416">
        <v>11.34</v>
      </c>
      <c r="J59" s="416">
        <v>12.23</v>
      </c>
      <c r="K59" s="416">
        <v>10.06</v>
      </c>
      <c r="L59" s="416">
        <v>9.4700000000000006</v>
      </c>
      <c r="M59" s="416">
        <v>8.92</v>
      </c>
      <c r="N59" s="416">
        <v>8.1300000000000008</v>
      </c>
      <c r="Q59" s="6">
        <f>ROW()</f>
        <v>59</v>
      </c>
    </row>
    <row r="60" spans="2:17" ht="14" customHeight="1">
      <c r="B60" s="134" t="s">
        <v>54</v>
      </c>
      <c r="I60" s="416">
        <v>7.68</v>
      </c>
      <c r="J60" s="416">
        <v>9.65</v>
      </c>
      <c r="K60" s="416">
        <v>5.33</v>
      </c>
      <c r="L60" s="416">
        <v>5.49</v>
      </c>
      <c r="M60" s="416">
        <v>5.1100000000000003</v>
      </c>
      <c r="N60" s="416">
        <v>3.87</v>
      </c>
      <c r="Q60" s="6">
        <f>ROW()</f>
        <v>60</v>
      </c>
    </row>
    <row r="61" spans="2:17" ht="14" customHeight="1">
      <c r="B61" s="8" t="s">
        <v>564</v>
      </c>
      <c r="Q61" s="6">
        <f>ROW()</f>
        <v>61</v>
      </c>
    </row>
    <row r="62" spans="2:17" ht="14" customHeight="1">
      <c r="B62" s="134" t="s">
        <v>55</v>
      </c>
      <c r="I62" s="417">
        <v>4722.3500000000004</v>
      </c>
      <c r="J62" s="417">
        <v>4892.2700000000004</v>
      </c>
      <c r="K62" s="417">
        <v>4778.8999999999996</v>
      </c>
      <c r="L62" s="417">
        <v>4782.41</v>
      </c>
      <c r="M62" s="417">
        <v>4713.6899999999996</v>
      </c>
      <c r="N62" s="417">
        <v>4177.1379999999999</v>
      </c>
      <c r="Q62" s="6">
        <f>ROW()</f>
        <v>62</v>
      </c>
    </row>
    <row r="63" spans="2:17" ht="14" customHeight="1">
      <c r="B63" s="134" t="s">
        <v>56</v>
      </c>
      <c r="I63" s="417">
        <v>3012.9</v>
      </c>
      <c r="J63" s="417">
        <v>3152.52</v>
      </c>
      <c r="K63" s="417">
        <v>3118.59</v>
      </c>
      <c r="L63" s="417">
        <v>3102.59</v>
      </c>
      <c r="M63" s="417">
        <v>3153.6</v>
      </c>
      <c r="N63" s="417">
        <v>2904.8069999999998</v>
      </c>
      <c r="Q63" s="6">
        <f>ROW()</f>
        <v>63</v>
      </c>
    </row>
    <row r="64" spans="2:17" ht="14" customHeight="1">
      <c r="B64" s="134" t="s">
        <v>54</v>
      </c>
      <c r="I64" s="417">
        <v>7881.1</v>
      </c>
      <c r="J64" s="417">
        <v>7889.88</v>
      </c>
      <c r="K64" s="417">
        <v>7442.6</v>
      </c>
      <c r="L64" s="417">
        <v>8111.81</v>
      </c>
      <c r="M64" s="417">
        <v>8227.43</v>
      </c>
      <c r="N64" s="417">
        <v>8491.9390000000003</v>
      </c>
      <c r="Q64" s="6">
        <f>ROW()</f>
        <v>64</v>
      </c>
    </row>
    <row r="65" spans="2:17" ht="14" customHeight="1">
      <c r="B65" s="8" t="s">
        <v>565</v>
      </c>
      <c r="I65" s="418">
        <f t="shared" ref="I65:N65" si="10">SUMPRODUCT(I58:I60,I62:I64)/SUM(I62:I64)</f>
        <v>10.01908077111489</v>
      </c>
      <c r="J65" s="418">
        <f t="shared" si="10"/>
        <v>11.462194817966108</v>
      </c>
      <c r="K65" s="418">
        <f t="shared" si="10"/>
        <v>8.4131135736491771</v>
      </c>
      <c r="L65" s="418">
        <f t="shared" si="10"/>
        <v>8.0257885228367396</v>
      </c>
      <c r="M65" s="418">
        <f t="shared" si="10"/>
        <v>7.5903327302369963</v>
      </c>
      <c r="N65" s="418">
        <f t="shared" si="10"/>
        <v>6.4911051527030761</v>
      </c>
      <c r="Q65" s="6">
        <f>ROW()</f>
        <v>65</v>
      </c>
    </row>
    <row r="66" spans="2:17" ht="14" customHeight="1">
      <c r="Q66" s="6">
        <f>ROW()</f>
        <v>66</v>
      </c>
    </row>
    <row r="67" spans="2:17" ht="14" customHeight="1">
      <c r="B67" s="8" t="s">
        <v>570</v>
      </c>
      <c r="I67" s="418">
        <v>8.16</v>
      </c>
      <c r="J67" s="418">
        <v>9.18</v>
      </c>
      <c r="K67" s="418">
        <v>6.48</v>
      </c>
      <c r="L67" s="418">
        <v>6.18</v>
      </c>
      <c r="M67" s="418">
        <v>5.63</v>
      </c>
      <c r="N67" s="418">
        <v>4.7300000000000004</v>
      </c>
      <c r="Q67" s="6">
        <f>ROW()</f>
        <v>67</v>
      </c>
    </row>
    <row r="68" spans="2:17" ht="14" customHeight="1">
      <c r="O68" s="80" t="s">
        <v>569</v>
      </c>
      <c r="Q68" s="6">
        <f>ROW()</f>
        <v>68</v>
      </c>
    </row>
    <row r="69" spans="2:17" ht="14" customHeight="1">
      <c r="B69" s="8" t="s">
        <v>568</v>
      </c>
      <c r="I69" s="418">
        <f t="shared" ref="I69:N69" si="11">I65-I67</f>
        <v>1.8590807711148898</v>
      </c>
      <c r="J69" s="418">
        <f t="shared" si="11"/>
        <v>2.2821948179661078</v>
      </c>
      <c r="K69" s="418">
        <f t="shared" si="11"/>
        <v>1.9331135736491767</v>
      </c>
      <c r="L69" s="418">
        <f t="shared" si="11"/>
        <v>1.8457885228367399</v>
      </c>
      <c r="M69" s="418">
        <f t="shared" si="11"/>
        <v>1.9603327302369964</v>
      </c>
      <c r="N69" s="418">
        <f t="shared" si="11"/>
        <v>1.7611051527030757</v>
      </c>
      <c r="O69" s="418">
        <f>AVERAGE(I69:N69)</f>
        <v>1.9402692614178312</v>
      </c>
      <c r="Q69" s="6">
        <f>ROW()</f>
        <v>69</v>
      </c>
    </row>
    <row r="70" spans="2:17" ht="14" customHeight="1">
      <c r="Q70" s="6">
        <f>ROW()</f>
        <v>70</v>
      </c>
    </row>
    <row r="71" spans="2:17" ht="14" customHeight="1">
      <c r="B71" s="8" t="s">
        <v>571</v>
      </c>
      <c r="I71" s="418">
        <v>6.25</v>
      </c>
      <c r="J71" s="418">
        <v>7.97</v>
      </c>
      <c r="K71" s="418">
        <v>3.67</v>
      </c>
      <c r="L71" s="418">
        <v>4.4800000000000004</v>
      </c>
      <c r="M71" s="418">
        <v>3.95</v>
      </c>
      <c r="N71" s="418">
        <v>2.66</v>
      </c>
      <c r="Q71" s="6">
        <f>ROW()</f>
        <v>71</v>
      </c>
    </row>
    <row r="72" spans="2:17" ht="14" customHeight="1">
      <c r="O72" s="80" t="s">
        <v>569</v>
      </c>
      <c r="Q72" s="6">
        <f>ROW()</f>
        <v>72</v>
      </c>
    </row>
    <row r="73" spans="2:17" ht="14" customHeight="1">
      <c r="B73" s="8" t="s">
        <v>572</v>
      </c>
      <c r="F73" s="91" t="str">
        <f>CONCATENATE("Row ",Q65, " less Row ",Q71, ".")</f>
        <v>Row 65 less Row 71.</v>
      </c>
      <c r="I73" s="418">
        <f t="shared" ref="I73:N73" si="12">I65-I71</f>
        <v>3.7690807711148899</v>
      </c>
      <c r="J73" s="418">
        <f t="shared" si="12"/>
        <v>3.4921948179661078</v>
      </c>
      <c r="K73" s="418">
        <f t="shared" si="12"/>
        <v>4.7431135736491772</v>
      </c>
      <c r="L73" s="418">
        <f t="shared" si="12"/>
        <v>3.5457885228367392</v>
      </c>
      <c r="M73" s="418">
        <f t="shared" si="12"/>
        <v>3.6403327302369961</v>
      </c>
      <c r="N73" s="418">
        <f t="shared" si="12"/>
        <v>3.8311051527030759</v>
      </c>
      <c r="O73" s="418">
        <f>AVERAGE(I73:N73)</f>
        <v>3.8369359280844981</v>
      </c>
      <c r="Q73" s="6">
        <f>ROW()</f>
        <v>73</v>
      </c>
    </row>
    <row r="74" spans="2:17" ht="14" customHeight="1">
      <c r="Q74" s="6">
        <f>ROW()</f>
        <v>74</v>
      </c>
    </row>
    <row r="75" spans="2:17" ht="14" customHeight="1">
      <c r="B75" s="8" t="s">
        <v>12</v>
      </c>
      <c r="Q75" s="6">
        <f>ROW()</f>
        <v>75</v>
      </c>
    </row>
    <row r="76" spans="2:17" ht="14" customHeight="1">
      <c r="Q76" s="6">
        <f>ROW()</f>
        <v>76</v>
      </c>
    </row>
    <row r="77" spans="2:17" ht="14" customHeight="1">
      <c r="B77" s="3" t="s">
        <v>667</v>
      </c>
      <c r="N77" s="102" t="s">
        <v>13</v>
      </c>
      <c r="O77">
        <v>6.1890000000000001</v>
      </c>
      <c r="Q77" s="6">
        <f>ROW()</f>
        <v>77</v>
      </c>
    </row>
    <row r="78" spans="2:17" ht="14" customHeight="1">
      <c r="B78" s="3" t="s">
        <v>666</v>
      </c>
      <c r="I78" s="29"/>
      <c r="N78" s="102" t="s">
        <v>668</v>
      </c>
      <c r="O78">
        <v>5.42</v>
      </c>
      <c r="Q78" s="6">
        <f>ROW()</f>
        <v>78</v>
      </c>
    </row>
    <row r="79" spans="2:17" ht="14" customHeight="1">
      <c r="B79" s="3" t="s">
        <v>684</v>
      </c>
      <c r="N79" s="102" t="s">
        <v>685</v>
      </c>
      <c r="O79">
        <v>5.5</v>
      </c>
      <c r="Q79" s="6">
        <f>ROW()</f>
        <v>79</v>
      </c>
    </row>
    <row r="82" spans="2:11" ht="14" customHeight="1">
      <c r="B82" s="8" t="s">
        <v>819</v>
      </c>
    </row>
    <row r="83" spans="2:11" ht="14" customHeight="1">
      <c r="B83" s="932" t="s">
        <v>649</v>
      </c>
      <c r="C83" s="811"/>
      <c r="D83" s="811"/>
      <c r="E83" s="811"/>
      <c r="F83" s="811"/>
      <c r="G83" s="811"/>
      <c r="H83" s="811"/>
      <c r="I83" s="811"/>
      <c r="J83" s="811"/>
      <c r="K83" s="811"/>
    </row>
    <row r="84" spans="2:11" ht="14" customHeight="1">
      <c r="B84" s="811"/>
      <c r="C84" s="811"/>
      <c r="D84" s="811"/>
      <c r="E84" s="811"/>
      <c r="F84" s="811"/>
      <c r="G84" s="811"/>
      <c r="H84" s="811"/>
      <c r="I84" s="811"/>
      <c r="J84" s="811"/>
      <c r="K84" s="811"/>
    </row>
    <row r="85" spans="2:11" ht="14" customHeight="1">
      <c r="B85" t="s">
        <v>648</v>
      </c>
    </row>
  </sheetData>
  <mergeCells count="6">
    <mergeCell ref="B83:K84"/>
    <mergeCell ref="F40:F42"/>
    <mergeCell ref="D39:E39"/>
    <mergeCell ref="G4:N4"/>
    <mergeCell ref="F32:F36"/>
    <mergeCell ref="B54:N55"/>
  </mergeCells>
  <hyperlinks>
    <hyperlink ref="N77" r:id="rId1"/>
    <hyperlink ref="N79" r:id="rId2" display="http://www.eia.doe.gov/emeu/mer/append_a.html, Table A3."/>
  </hyperlinks>
  <pageMargins left="0.7" right="0.7" top="0.75" bottom="0.75" header="0.3" footer="0.3"/>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2"/>
  <sheetViews>
    <sheetView workbookViewId="0"/>
  </sheetViews>
  <sheetFormatPr baseColWidth="10" defaultColWidth="8.83203125" defaultRowHeight="14" customHeight="1" x14ac:dyDescent="0"/>
  <cols>
    <col min="1" max="1" width="2.6640625" customWidth="1"/>
    <col min="6" max="6" width="9.83203125" bestFit="1" customWidth="1"/>
    <col min="14" max="14" width="1.6640625" customWidth="1"/>
    <col min="15" max="16" width="9.6640625" customWidth="1"/>
  </cols>
  <sheetData>
    <row r="1" spans="1:24" ht="14" customHeight="1">
      <c r="B1" s="59" t="s">
        <v>50</v>
      </c>
      <c r="F1" s="937" t="s">
        <v>640</v>
      </c>
      <c r="G1" s="938"/>
      <c r="H1" s="938"/>
      <c r="I1" s="938"/>
      <c r="J1" s="938"/>
      <c r="K1" s="939"/>
      <c r="L1" s="242">
        <f>Summary!F3</f>
        <v>41674</v>
      </c>
    </row>
    <row r="2" spans="1:24" ht="14" customHeight="1">
      <c r="F2" s="940"/>
      <c r="G2" s="941"/>
      <c r="H2" s="941"/>
      <c r="I2" s="941"/>
      <c r="J2" s="941"/>
      <c r="K2" s="942"/>
    </row>
    <row r="3" spans="1:24" ht="14" customHeight="1">
      <c r="F3" s="795"/>
      <c r="G3" s="796"/>
      <c r="H3" s="796"/>
      <c r="I3" s="796"/>
      <c r="J3" s="796"/>
      <c r="K3" s="797"/>
    </row>
    <row r="4" spans="1:24" ht="14" customHeight="1">
      <c r="O4" s="32" t="s">
        <v>371</v>
      </c>
    </row>
    <row r="5" spans="1:24" ht="14" customHeight="1">
      <c r="B5" s="32" t="s">
        <v>65</v>
      </c>
      <c r="O5" t="s">
        <v>82</v>
      </c>
    </row>
    <row r="6" spans="1:24" ht="14" customHeight="1">
      <c r="B6" t="s">
        <v>166</v>
      </c>
      <c r="O6" s="943" t="s">
        <v>83</v>
      </c>
      <c r="P6" s="811"/>
      <c r="Q6" s="811"/>
      <c r="R6" s="811"/>
      <c r="S6" s="811"/>
      <c r="T6" s="811"/>
      <c r="U6" s="811"/>
      <c r="V6" s="811"/>
      <c r="W6" s="811"/>
      <c r="X6" s="811"/>
    </row>
    <row r="7" spans="1:24" ht="14" customHeight="1">
      <c r="B7" s="8" t="s">
        <v>72</v>
      </c>
      <c r="O7" s="811"/>
      <c r="P7" s="811"/>
      <c r="Q7" s="811"/>
      <c r="R7" s="811"/>
      <c r="S7" s="811"/>
      <c r="T7" s="811"/>
      <c r="U7" s="811"/>
      <c r="V7" s="811"/>
      <c r="W7" s="811"/>
      <c r="X7" s="811"/>
    </row>
    <row r="8" spans="1:24" ht="14" customHeight="1">
      <c r="B8" s="96" t="s">
        <v>66</v>
      </c>
      <c r="O8" s="811"/>
      <c r="P8" s="811"/>
      <c r="Q8" s="811"/>
      <c r="R8" s="811"/>
      <c r="S8" s="811"/>
      <c r="T8" s="811"/>
      <c r="U8" s="811"/>
      <c r="V8" s="811"/>
      <c r="W8" s="811"/>
      <c r="X8" s="811"/>
    </row>
    <row r="9" spans="1:24" ht="14" customHeight="1">
      <c r="B9" s="96"/>
    </row>
    <row r="10" spans="1:24" ht="14" customHeight="1">
      <c r="B10" t="s">
        <v>96</v>
      </c>
    </row>
    <row r="11" spans="1:24" ht="14" customHeight="1">
      <c r="O11" s="945" t="s">
        <v>84</v>
      </c>
      <c r="P11" s="945"/>
    </row>
    <row r="12" spans="1:24" ht="14" customHeight="1">
      <c r="L12" s="798" t="s">
        <v>81</v>
      </c>
      <c r="M12" s="93"/>
      <c r="O12" s="945"/>
      <c r="P12" s="945"/>
      <c r="Q12" s="944" t="s">
        <v>102</v>
      </c>
      <c r="R12" s="944"/>
    </row>
    <row r="13" spans="1:24" ht="14" customHeight="1">
      <c r="B13" s="8" t="s">
        <v>76</v>
      </c>
      <c r="F13" s="13">
        <v>2005</v>
      </c>
      <c r="J13" s="798" t="s">
        <v>80</v>
      </c>
      <c r="K13" s="798" t="s">
        <v>99</v>
      </c>
      <c r="L13" s="911"/>
      <c r="M13" s="94"/>
      <c r="O13" s="104" t="s">
        <v>85</v>
      </c>
      <c r="P13" s="12" t="s">
        <v>86</v>
      </c>
      <c r="Q13" s="944"/>
      <c r="R13" s="944"/>
      <c r="S13" s="102" t="s">
        <v>97</v>
      </c>
      <c r="T13" s="102" t="s">
        <v>98</v>
      </c>
    </row>
    <row r="14" spans="1:24" ht="14" customHeight="1">
      <c r="G14" s="12" t="s">
        <v>77</v>
      </c>
      <c r="H14" s="12" t="s">
        <v>78</v>
      </c>
      <c r="I14" s="12" t="s">
        <v>79</v>
      </c>
      <c r="J14" s="911"/>
      <c r="K14" s="911"/>
      <c r="L14" s="911"/>
      <c r="M14" s="13">
        <v>2009</v>
      </c>
      <c r="O14" s="103">
        <v>0.17</v>
      </c>
      <c r="P14" s="13">
        <v>2020</v>
      </c>
      <c r="S14" s="13">
        <v>2050</v>
      </c>
    </row>
    <row r="15" spans="1:24" ht="14" customHeight="1">
      <c r="A15">
        <v>1</v>
      </c>
      <c r="B15" t="s">
        <v>68</v>
      </c>
      <c r="F15" s="119">
        <v>6074.3</v>
      </c>
      <c r="G15" s="15">
        <f>F15/$F$30</f>
        <v>0.85194743264281414</v>
      </c>
      <c r="H15" s="15">
        <f>F15/$F$15</f>
        <v>1</v>
      </c>
      <c r="I15" s="15"/>
      <c r="J15" s="15"/>
      <c r="K15" s="15"/>
      <c r="M15" s="7">
        <f>Emissions!K21</f>
        <v>5330.0999999999995</v>
      </c>
      <c r="O15" s="97">
        <f t="shared" ref="O15:O30" si="0">$O$14*F15</f>
        <v>1032.6310000000001</v>
      </c>
      <c r="P15" s="97">
        <f t="shared" ref="P15:P30" si="1">F15-O15</f>
        <v>5041.6689999999999</v>
      </c>
      <c r="Q15" s="7">
        <f>O30-Q29</f>
        <v>853.17900000000009</v>
      </c>
      <c r="R15" s="7">
        <f>F15-Q15</f>
        <v>5221.1210000000001</v>
      </c>
      <c r="S15" s="7">
        <f>$M15*(1+S32)^($S14-$M14)</f>
        <v>4935.0977714345299</v>
      </c>
      <c r="T15" s="7">
        <f>$M15*(1+T32)^($S14-$M14)</f>
        <v>5330.0999999999995</v>
      </c>
    </row>
    <row r="16" spans="1:24" ht="14" customHeight="1">
      <c r="A16">
        <v>2</v>
      </c>
      <c r="B16" s="10" t="s">
        <v>51</v>
      </c>
      <c r="F16" s="106">
        <v>5731</v>
      </c>
      <c r="G16" s="15"/>
      <c r="H16" s="15">
        <f>F16/$F$15</f>
        <v>0.94348319971025463</v>
      </c>
      <c r="I16" s="15">
        <f t="shared" ref="I16:I22" si="2">F16/$F$16</f>
        <v>1</v>
      </c>
      <c r="J16" s="15"/>
      <c r="K16" s="15"/>
      <c r="L16" s="105">
        <f>SUM(L17:L21)</f>
        <v>5730.8999999999987</v>
      </c>
      <c r="O16" s="97">
        <f t="shared" si="0"/>
        <v>974.2700000000001</v>
      </c>
      <c r="P16" s="97">
        <f t="shared" si="1"/>
        <v>4756.7299999999996</v>
      </c>
      <c r="S16" s="5">
        <f>S15/$M15</f>
        <v>0.92589215426249605</v>
      </c>
      <c r="T16" s="5">
        <f>T15/$M15</f>
        <v>1</v>
      </c>
    </row>
    <row r="17" spans="1:20" ht="14" customHeight="1">
      <c r="A17">
        <v>3</v>
      </c>
      <c r="B17" s="95" t="s">
        <v>52</v>
      </c>
      <c r="F17">
        <v>2380.1999999999998</v>
      </c>
      <c r="G17" s="15"/>
      <c r="H17" s="15"/>
      <c r="I17" s="15">
        <f t="shared" si="2"/>
        <v>0.41532018844878726</v>
      </c>
      <c r="J17" s="15">
        <f>F17/$F$40</f>
        <v>0.41921904996741638</v>
      </c>
      <c r="K17" s="7">
        <f>$F$22*J17</f>
        <v>22.302453458266552</v>
      </c>
      <c r="L17" s="9">
        <f>F17+K17</f>
        <v>2402.5024534582662</v>
      </c>
      <c r="O17" s="7">
        <f t="shared" si="0"/>
        <v>404.63400000000001</v>
      </c>
      <c r="P17" s="7">
        <f t="shared" si="1"/>
        <v>1975.5659999999998</v>
      </c>
      <c r="S17" s="5">
        <f>S15/$F30</f>
        <v>0.69216928308034198</v>
      </c>
      <c r="T17" s="5">
        <f>T15/$F30</f>
        <v>0.74757009214715486</v>
      </c>
    </row>
    <row r="18" spans="1:20" ht="14" customHeight="1">
      <c r="A18">
        <v>4</v>
      </c>
      <c r="B18" s="95" t="s">
        <v>53</v>
      </c>
      <c r="F18">
        <v>1869.8</v>
      </c>
      <c r="G18" s="15"/>
      <c r="H18" s="15"/>
      <c r="I18" s="15">
        <f t="shared" si="2"/>
        <v>0.32626068748909437</v>
      </c>
      <c r="J18" s="15">
        <f>F18/$F$40</f>
        <v>0.32932349366821073</v>
      </c>
      <c r="K18" s="7">
        <f>$F$22*J18</f>
        <v>17.520009863148811</v>
      </c>
      <c r="L18" s="9">
        <f>F18+K18</f>
        <v>1887.3200098631487</v>
      </c>
      <c r="O18" s="7">
        <f t="shared" si="0"/>
        <v>317.86600000000004</v>
      </c>
      <c r="P18" s="7">
        <f t="shared" si="1"/>
        <v>1551.934</v>
      </c>
    </row>
    <row r="19" spans="1:20" ht="14" customHeight="1">
      <c r="A19">
        <v>5</v>
      </c>
      <c r="B19" s="95" t="s">
        <v>54</v>
      </c>
      <c r="F19">
        <v>847.3</v>
      </c>
      <c r="G19" s="15"/>
      <c r="H19" s="15"/>
      <c r="I19" s="15">
        <f t="shared" si="2"/>
        <v>0.14784505321933344</v>
      </c>
      <c r="J19" s="15">
        <f>F19/$F$40</f>
        <v>0.14923296405234512</v>
      </c>
      <c r="K19" s="7">
        <f>$F$22*J19</f>
        <v>7.9391936875847611</v>
      </c>
      <c r="L19" s="9">
        <f>F19+K19</f>
        <v>855.2391936875847</v>
      </c>
      <c r="O19" s="7">
        <f t="shared" si="0"/>
        <v>144.041</v>
      </c>
      <c r="P19" s="7">
        <f t="shared" si="1"/>
        <v>703.25900000000001</v>
      </c>
    </row>
    <row r="20" spans="1:20" ht="14" customHeight="1">
      <c r="A20">
        <v>6</v>
      </c>
      <c r="B20" s="95" t="s">
        <v>55</v>
      </c>
      <c r="F20">
        <v>358.5</v>
      </c>
      <c r="G20" s="15"/>
      <c r="H20" s="15"/>
      <c r="I20" s="15">
        <f t="shared" si="2"/>
        <v>6.2554528005583671E-2</v>
      </c>
      <c r="J20" s="15">
        <f>F20/$F$40</f>
        <v>6.3141765151381729E-2</v>
      </c>
      <c r="K20" s="7">
        <f>$F$22*J20</f>
        <v>3.3591419060535084</v>
      </c>
      <c r="L20" s="9">
        <f>F20+K20</f>
        <v>361.85914190605348</v>
      </c>
      <c r="O20" s="7">
        <f t="shared" si="0"/>
        <v>60.945000000000007</v>
      </c>
      <c r="P20" s="7">
        <f t="shared" si="1"/>
        <v>297.55500000000001</v>
      </c>
    </row>
    <row r="21" spans="1:20" ht="14" customHeight="1">
      <c r="A21">
        <v>7</v>
      </c>
      <c r="B21" s="95" t="s">
        <v>56</v>
      </c>
      <c r="F21">
        <v>221.9</v>
      </c>
      <c r="G21" s="15"/>
      <c r="H21" s="15"/>
      <c r="I21" s="15">
        <f t="shared" si="2"/>
        <v>3.8719246204850816E-2</v>
      </c>
      <c r="J21" s="15">
        <f>F21/$F$40</f>
        <v>3.9082727160646036E-2</v>
      </c>
      <c r="K21" s="7">
        <f>$F$22*J21</f>
        <v>2.0792010849463693</v>
      </c>
      <c r="L21" s="9">
        <f>F21+K21</f>
        <v>223.97920108494637</v>
      </c>
      <c r="O21" s="7">
        <f t="shared" si="0"/>
        <v>37.723000000000006</v>
      </c>
      <c r="P21" s="7">
        <f t="shared" si="1"/>
        <v>184.17699999999999</v>
      </c>
    </row>
    <row r="22" spans="1:20" ht="14" customHeight="1">
      <c r="A22">
        <v>8</v>
      </c>
      <c r="B22" s="95" t="s">
        <v>57</v>
      </c>
      <c r="F22">
        <v>53.2</v>
      </c>
      <c r="G22" s="15"/>
      <c r="H22" s="15"/>
      <c r="I22" s="15">
        <f t="shared" si="2"/>
        <v>9.2828476705636015E-3</v>
      </c>
      <c r="J22" s="15"/>
      <c r="K22" s="15"/>
      <c r="O22" s="7">
        <f t="shared" si="0"/>
        <v>9.0440000000000005</v>
      </c>
      <c r="P22" s="7">
        <f t="shared" si="1"/>
        <v>44.156000000000006</v>
      </c>
    </row>
    <row r="23" spans="1:20" ht="14" customHeight="1">
      <c r="A23">
        <v>9</v>
      </c>
      <c r="B23" s="10" t="s">
        <v>58</v>
      </c>
      <c r="F23" s="97">
        <f>F15-F33</f>
        <v>343.40000000000055</v>
      </c>
      <c r="G23" s="98"/>
      <c r="H23" s="15">
        <f>F23/$F$15</f>
        <v>5.6533263092043616E-2</v>
      </c>
      <c r="I23" s="15"/>
      <c r="J23" s="15"/>
      <c r="K23" s="7"/>
      <c r="L23" s="7">
        <f>F23</f>
        <v>343.40000000000055</v>
      </c>
      <c r="O23" s="97">
        <f t="shared" si="0"/>
        <v>58.3780000000001</v>
      </c>
      <c r="P23" s="97">
        <f t="shared" si="1"/>
        <v>285.02200000000045</v>
      </c>
    </row>
    <row r="24" spans="1:20" ht="14" customHeight="1">
      <c r="A24">
        <v>10</v>
      </c>
      <c r="B24" t="s">
        <v>59</v>
      </c>
      <c r="F24">
        <v>539.70000000000005</v>
      </c>
      <c r="G24" s="15"/>
      <c r="H24" s="15"/>
      <c r="I24" s="15"/>
      <c r="J24" s="15"/>
      <c r="K24" s="15"/>
      <c r="O24" s="7">
        <f t="shared" si="0"/>
        <v>91.749000000000009</v>
      </c>
      <c r="P24" s="7">
        <f t="shared" si="1"/>
        <v>447.95100000000002</v>
      </c>
    </row>
    <row r="25" spans="1:20" ht="14" customHeight="1">
      <c r="A25">
        <v>11</v>
      </c>
      <c r="B25" t="s">
        <v>60</v>
      </c>
      <c r="F25">
        <v>370.1</v>
      </c>
      <c r="G25" s="15"/>
      <c r="H25" s="15"/>
      <c r="I25" s="15"/>
      <c r="J25" s="15"/>
      <c r="K25" s="15"/>
      <c r="O25" s="7">
        <f t="shared" si="0"/>
        <v>62.917000000000009</v>
      </c>
      <c r="P25" s="7">
        <f t="shared" si="1"/>
        <v>307.18299999999999</v>
      </c>
    </row>
    <row r="26" spans="1:20" ht="14" customHeight="1">
      <c r="A26">
        <v>12</v>
      </c>
      <c r="B26" t="s">
        <v>61</v>
      </c>
      <c r="F26">
        <v>121.4</v>
      </c>
      <c r="G26" s="15"/>
      <c r="H26" s="15"/>
      <c r="I26" s="15"/>
      <c r="J26" s="15"/>
      <c r="K26" s="15"/>
      <c r="O26" s="7">
        <f t="shared" si="0"/>
        <v>20.638000000000002</v>
      </c>
      <c r="P26" s="7">
        <f t="shared" si="1"/>
        <v>100.762</v>
      </c>
    </row>
    <row r="27" spans="1:20" ht="14" customHeight="1">
      <c r="A27">
        <v>13</v>
      </c>
      <c r="B27" t="s">
        <v>62</v>
      </c>
      <c r="F27">
        <v>6.2</v>
      </c>
      <c r="G27" s="15"/>
      <c r="H27" s="15"/>
      <c r="I27" s="15"/>
      <c r="J27" s="15"/>
      <c r="K27" s="15"/>
      <c r="O27" s="7">
        <f t="shared" si="0"/>
        <v>1.054</v>
      </c>
      <c r="P27" s="7">
        <f t="shared" si="1"/>
        <v>5.1459999999999999</v>
      </c>
    </row>
    <row r="28" spans="1:20" ht="14" customHeight="1">
      <c r="A28">
        <v>14</v>
      </c>
      <c r="B28" t="s">
        <v>63</v>
      </c>
      <c r="F28">
        <v>18.2</v>
      </c>
      <c r="G28" s="15"/>
      <c r="H28" s="15"/>
      <c r="I28" s="15"/>
      <c r="J28" s="15"/>
      <c r="K28" s="15"/>
      <c r="O28" s="7">
        <f t="shared" si="0"/>
        <v>3.0940000000000003</v>
      </c>
      <c r="P28" s="7">
        <f t="shared" si="1"/>
        <v>15.105999999999998</v>
      </c>
    </row>
    <row r="29" spans="1:20" ht="14" customHeight="1">
      <c r="A29">
        <v>15</v>
      </c>
      <c r="B29" t="s">
        <v>69</v>
      </c>
      <c r="F29" s="101">
        <f>SUM(F24:F28)</f>
        <v>1055.6000000000001</v>
      </c>
      <c r="G29" s="15">
        <f>F29/$F$30</f>
        <v>0.14805256735718597</v>
      </c>
      <c r="H29" s="15"/>
      <c r="I29" s="15"/>
      <c r="J29" s="15"/>
      <c r="K29" s="15"/>
      <c r="O29" s="101">
        <f t="shared" si="0"/>
        <v>179.45200000000003</v>
      </c>
      <c r="P29" s="101">
        <f t="shared" si="1"/>
        <v>876.14800000000014</v>
      </c>
      <c r="Q29" s="7">
        <f>2*O29</f>
        <v>358.90400000000005</v>
      </c>
    </row>
    <row r="30" spans="1:20" ht="14" customHeight="1">
      <c r="A30">
        <v>16</v>
      </c>
      <c r="B30" t="s">
        <v>106</v>
      </c>
      <c r="F30" s="101">
        <v>7129.9</v>
      </c>
      <c r="G30" s="15">
        <f>F30/$F$30</f>
        <v>1</v>
      </c>
      <c r="H30" s="15"/>
      <c r="I30" s="15"/>
      <c r="J30" s="15"/>
      <c r="K30" s="15"/>
      <c r="O30" s="101">
        <f t="shared" si="0"/>
        <v>1212.0830000000001</v>
      </c>
      <c r="P30" s="101">
        <f t="shared" si="1"/>
        <v>5917.8169999999991</v>
      </c>
    </row>
    <row r="31" spans="1:20" ht="14" customHeight="1">
      <c r="L31" s="100">
        <f>SUM(L17:L28)</f>
        <v>6074.2999999999993</v>
      </c>
      <c r="P31" s="15">
        <f>P15/$M$15-1</f>
        <v>-5.4113618881446834E-2</v>
      </c>
      <c r="R31" s="15">
        <f>R15/$M$15-1</f>
        <v>-2.044595786195369E-2</v>
      </c>
    </row>
    <row r="32" spans="1:20" ht="14" customHeight="1">
      <c r="K32" s="7"/>
      <c r="P32" s="16">
        <f>(1+P31)^(1/($P$14-$M$14))-1</f>
        <v>-5.0447614751579772E-3</v>
      </c>
      <c r="S32" s="16">
        <f>(1+R31)^(1/($P$14-$M$14))-1</f>
        <v>-1.8762258591381586E-3</v>
      </c>
      <c r="T32" s="16">
        <f>ROUND(S32,2)</f>
        <v>0</v>
      </c>
    </row>
    <row r="33" spans="2:13" ht="14" customHeight="1">
      <c r="B33" s="91" t="s">
        <v>71</v>
      </c>
      <c r="F33" s="3">
        <f>SUM(F17:F22)</f>
        <v>5730.9</v>
      </c>
    </row>
    <row r="34" spans="2:13" ht="14" customHeight="1">
      <c r="B34" s="91" t="s">
        <v>70</v>
      </c>
      <c r="F34" s="3"/>
    </row>
    <row r="35" spans="2:13" ht="14" customHeight="1">
      <c r="B35" s="91" t="s">
        <v>73</v>
      </c>
      <c r="F35" s="3">
        <f>F15+SUM(F24:F28)</f>
        <v>7129.9000000000005</v>
      </c>
    </row>
    <row r="36" spans="2:13" ht="14" customHeight="1">
      <c r="B36" s="946" t="s">
        <v>74</v>
      </c>
      <c r="C36" s="947"/>
      <c r="D36" s="947"/>
      <c r="E36" s="947"/>
      <c r="F36" s="947"/>
      <c r="G36" s="947"/>
      <c r="H36" s="947"/>
      <c r="I36" s="947"/>
    </row>
    <row r="37" spans="2:13" ht="14" customHeight="1">
      <c r="B37" s="947"/>
      <c r="C37" s="947"/>
      <c r="D37" s="947"/>
      <c r="E37" s="947"/>
      <c r="F37" s="947"/>
      <c r="G37" s="947"/>
      <c r="H37" s="947"/>
      <c r="I37" s="947"/>
    </row>
    <row r="38" spans="2:13" ht="14" customHeight="1">
      <c r="B38" s="947"/>
      <c r="C38" s="947"/>
      <c r="D38" s="947"/>
      <c r="E38" s="947"/>
      <c r="F38" s="947"/>
      <c r="G38" s="947"/>
      <c r="H38" s="947"/>
      <c r="I38" s="947"/>
    </row>
    <row r="40" spans="2:13" ht="14" customHeight="1">
      <c r="B40" s="99" t="s">
        <v>75</v>
      </c>
      <c r="F40" s="7">
        <f>SUM(F17:F21)</f>
        <v>5677.7</v>
      </c>
      <c r="J40" s="15">
        <f>F40/$F$40</f>
        <v>1</v>
      </c>
    </row>
    <row r="43" spans="2:13" ht="14" customHeight="1">
      <c r="B43" s="943" t="s">
        <v>100</v>
      </c>
      <c r="C43" s="943"/>
      <c r="D43" s="943"/>
      <c r="E43" s="943"/>
      <c r="F43" s="943"/>
      <c r="G43" s="943"/>
      <c r="H43" s="943"/>
      <c r="I43" s="943"/>
      <c r="J43" s="943"/>
      <c r="K43" s="943"/>
      <c r="L43" s="943"/>
      <c r="M43" s="943"/>
    </row>
    <row r="44" spans="2:13" ht="14" customHeight="1">
      <c r="B44" s="943"/>
      <c r="C44" s="943"/>
      <c r="D44" s="943"/>
      <c r="E44" s="943"/>
      <c r="F44" s="943"/>
      <c r="G44" s="943"/>
      <c r="H44" s="943"/>
      <c r="I44" s="943"/>
      <c r="J44" s="943"/>
      <c r="K44" s="943"/>
      <c r="L44" s="943"/>
      <c r="M44" s="943"/>
    </row>
    <row r="45" spans="2:13" ht="14" customHeight="1">
      <c r="B45" s="943"/>
      <c r="C45" s="943"/>
      <c r="D45" s="943"/>
      <c r="E45" s="943"/>
      <c r="F45" s="943"/>
      <c r="G45" s="943"/>
      <c r="H45" s="943"/>
      <c r="I45" s="943"/>
      <c r="J45" s="943"/>
      <c r="K45" s="943"/>
      <c r="L45" s="943"/>
      <c r="M45" s="943"/>
    </row>
    <row r="46" spans="2:13" ht="14" customHeight="1">
      <c r="B46" s="943"/>
      <c r="C46" s="943"/>
      <c r="D46" s="943"/>
      <c r="E46" s="943"/>
      <c r="F46" s="943"/>
      <c r="G46" s="943"/>
      <c r="H46" s="943"/>
      <c r="I46" s="943"/>
      <c r="J46" s="943"/>
      <c r="K46" s="943"/>
      <c r="L46" s="943"/>
      <c r="M46" s="943"/>
    </row>
    <row r="47" spans="2:13" ht="14" customHeight="1">
      <c r="B47" s="32" t="s">
        <v>101</v>
      </c>
    </row>
    <row r="48" spans="2:13" ht="14" customHeight="1">
      <c r="B48" s="3"/>
    </row>
    <row r="49" spans="2:13" ht="14" customHeight="1">
      <c r="B49" s="740" t="s">
        <v>329</v>
      </c>
      <c r="C49" s="811"/>
      <c r="D49" s="811"/>
      <c r="E49" s="811"/>
      <c r="F49" s="811"/>
      <c r="G49" s="811"/>
      <c r="H49" s="811"/>
      <c r="I49" s="811"/>
      <c r="J49" s="811"/>
      <c r="K49" s="811"/>
      <c r="L49" s="811"/>
      <c r="M49" s="811"/>
    </row>
    <row r="50" spans="2:13" ht="14" customHeight="1">
      <c r="B50" s="811"/>
      <c r="C50" s="811"/>
      <c r="D50" s="811"/>
      <c r="E50" s="811"/>
      <c r="F50" s="811"/>
      <c r="G50" s="811"/>
      <c r="H50" s="811"/>
      <c r="I50" s="811"/>
      <c r="J50" s="811"/>
      <c r="K50" s="811"/>
      <c r="L50" s="811"/>
      <c r="M50" s="811"/>
    </row>
    <row r="51" spans="2:13" ht="14" customHeight="1">
      <c r="B51" s="811"/>
      <c r="C51" s="811"/>
      <c r="D51" s="811"/>
      <c r="E51" s="811"/>
      <c r="F51" s="811"/>
      <c r="G51" s="811"/>
      <c r="H51" s="811"/>
      <c r="I51" s="811"/>
      <c r="J51" s="811"/>
      <c r="K51" s="811"/>
      <c r="L51" s="811"/>
      <c r="M51" s="811"/>
    </row>
    <row r="52" spans="2:13" ht="14" customHeight="1">
      <c r="B52" s="811"/>
      <c r="C52" s="811"/>
      <c r="D52" s="811"/>
      <c r="E52" s="811"/>
      <c r="F52" s="811"/>
      <c r="G52" s="811"/>
      <c r="H52" s="811"/>
      <c r="I52" s="811"/>
      <c r="J52" s="811"/>
      <c r="K52" s="811"/>
      <c r="L52" s="811"/>
      <c r="M52" s="811"/>
    </row>
  </sheetData>
  <mergeCells count="10">
    <mergeCell ref="F1:K3"/>
    <mergeCell ref="B49:M52"/>
    <mergeCell ref="O6:X8"/>
    <mergeCell ref="Q12:R13"/>
    <mergeCell ref="L12:L14"/>
    <mergeCell ref="B43:M46"/>
    <mergeCell ref="O11:P12"/>
    <mergeCell ref="B36:I38"/>
    <mergeCell ref="K13:K14"/>
    <mergeCell ref="J13:J14"/>
  </mergeCells>
  <phoneticPr fontId="3" type="noConversion"/>
  <hyperlinks>
    <hyperlink ref="B8" r:id="rId1"/>
  </hyperlinks>
  <pageMargins left="0.75" right="0.75" top="1" bottom="1" header="0.5" footer="0.5"/>
  <pageSetup orientation="portrait"/>
  <headerFooter alignWithMargins="0"/>
  <drawing r:id="rId2"/>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75"/>
  <sheetViews>
    <sheetView workbookViewId="0"/>
  </sheetViews>
  <sheetFormatPr baseColWidth="10" defaultColWidth="11.6640625" defaultRowHeight="14" customHeight="1" x14ac:dyDescent="0"/>
  <cols>
    <col min="1" max="1" width="2.6640625" customWidth="1"/>
    <col min="2" max="4" width="14.6640625" customWidth="1"/>
  </cols>
  <sheetData>
    <row r="1" spans="2:14" ht="14" customHeight="1">
      <c r="B1" s="59" t="s">
        <v>254</v>
      </c>
      <c r="D1" s="32" t="s">
        <v>327</v>
      </c>
      <c r="J1" s="237">
        <f>Summary!F3</f>
        <v>41674</v>
      </c>
    </row>
    <row r="2" spans="2:14" ht="14" customHeight="1">
      <c r="B2" s="59"/>
    </row>
    <row r="3" spans="2:14" ht="14" customHeight="1">
      <c r="B3" s="1" t="s">
        <v>289</v>
      </c>
    </row>
    <row r="4" spans="2:14" ht="14" customHeight="1">
      <c r="B4" s="59"/>
    </row>
    <row r="5" spans="2:14" ht="14" customHeight="1">
      <c r="B5" s="740" t="s">
        <v>290</v>
      </c>
      <c r="C5" s="740"/>
      <c r="D5" s="740"/>
      <c r="E5" s="740"/>
      <c r="F5" s="740"/>
      <c r="G5" s="740"/>
      <c r="H5" s="740"/>
      <c r="I5" s="740"/>
      <c r="J5" s="740"/>
      <c r="K5" s="32"/>
    </row>
    <row r="6" spans="2:14" ht="14" customHeight="1">
      <c r="B6" s="740"/>
      <c r="C6" s="740"/>
      <c r="D6" s="740"/>
      <c r="E6" s="740"/>
      <c r="F6" s="740"/>
      <c r="G6" s="740"/>
      <c r="H6" s="740"/>
      <c r="I6" s="740"/>
      <c r="J6" s="740"/>
      <c r="K6" s="32"/>
    </row>
    <row r="7" spans="2:14" ht="14" customHeight="1">
      <c r="B7" s="740"/>
      <c r="C7" s="740"/>
      <c r="D7" s="740"/>
      <c r="E7" s="740"/>
      <c r="F7" s="740"/>
      <c r="G7" s="740"/>
      <c r="H7" s="740"/>
      <c r="I7" s="740"/>
      <c r="J7" s="740"/>
      <c r="K7" s="32"/>
    </row>
    <row r="8" spans="2:14" ht="14" customHeight="1">
      <c r="B8" s="32"/>
      <c r="C8" s="32"/>
      <c r="D8" s="32"/>
      <c r="E8" s="32"/>
      <c r="F8" s="32"/>
      <c r="G8" s="32"/>
      <c r="H8" s="32"/>
      <c r="I8" s="32"/>
      <c r="J8" s="32"/>
      <c r="K8" s="32"/>
    </row>
    <row r="9" spans="2:14" ht="14" customHeight="1">
      <c r="B9" s="740" t="s">
        <v>326</v>
      </c>
      <c r="C9" s="740"/>
      <c r="D9" s="740"/>
      <c r="E9" s="740"/>
      <c r="F9" s="740"/>
      <c r="G9" s="740"/>
      <c r="H9" s="740"/>
      <c r="I9" s="740"/>
      <c r="J9" s="740"/>
      <c r="K9" s="32"/>
      <c r="M9" t="s">
        <v>263</v>
      </c>
    </row>
    <row r="10" spans="2:14" ht="14" customHeight="1" thickBot="1">
      <c r="B10" s="740"/>
      <c r="C10" s="740"/>
      <c r="D10" s="740"/>
      <c r="E10" s="740"/>
      <c r="F10" s="740"/>
      <c r="G10" s="740"/>
      <c r="H10" s="740"/>
      <c r="I10" s="740"/>
      <c r="J10" s="740"/>
      <c r="K10" s="32"/>
    </row>
    <row r="11" spans="2:14" ht="14" customHeight="1">
      <c r="B11" s="740"/>
      <c r="C11" s="740"/>
      <c r="D11" s="740"/>
      <c r="E11" s="740"/>
      <c r="F11" s="740"/>
      <c r="G11" s="740"/>
      <c r="H11" s="740"/>
      <c r="I11" s="740"/>
      <c r="J11" s="740"/>
      <c r="K11" s="32"/>
      <c r="M11" s="219" t="s">
        <v>264</v>
      </c>
      <c r="N11" s="219"/>
    </row>
    <row r="12" spans="2:14" ht="14" customHeight="1">
      <c r="B12" s="32"/>
      <c r="C12" s="32"/>
      <c r="D12" s="32"/>
      <c r="E12" s="32"/>
      <c r="F12" s="32"/>
      <c r="G12" s="32"/>
      <c r="H12" s="32"/>
      <c r="I12" s="32"/>
      <c r="J12" s="32"/>
      <c r="K12" s="32"/>
      <c r="M12" s="216" t="s">
        <v>265</v>
      </c>
      <c r="N12" s="216">
        <v>0.73791166770726702</v>
      </c>
    </row>
    <row r="13" spans="2:14" ht="14" customHeight="1">
      <c r="B13" s="740" t="s">
        <v>292</v>
      </c>
      <c r="C13" s="740"/>
      <c r="D13" s="740"/>
      <c r="E13" s="740"/>
      <c r="F13" s="740"/>
      <c r="G13" s="740"/>
      <c r="H13" s="740"/>
      <c r="I13" s="740"/>
      <c r="J13" s="740"/>
      <c r="K13" s="32"/>
      <c r="M13" s="216" t="s">
        <v>266</v>
      </c>
      <c r="N13" s="216">
        <v>0.5445136293385201</v>
      </c>
    </row>
    <row r="14" spans="2:14" ht="14" customHeight="1">
      <c r="B14" s="740"/>
      <c r="C14" s="740"/>
      <c r="D14" s="740"/>
      <c r="E14" s="740"/>
      <c r="F14" s="740"/>
      <c r="G14" s="740"/>
      <c r="H14" s="740"/>
      <c r="I14" s="740"/>
      <c r="J14" s="740"/>
      <c r="K14" s="32"/>
      <c r="M14" s="216" t="s">
        <v>267</v>
      </c>
      <c r="N14" s="216">
        <v>0.48757783300583513</v>
      </c>
    </row>
    <row r="15" spans="2:14" ht="14" customHeight="1">
      <c r="B15" s="740"/>
      <c r="C15" s="740"/>
      <c r="D15" s="740"/>
      <c r="E15" s="740"/>
      <c r="F15" s="740"/>
      <c r="G15" s="740"/>
      <c r="H15" s="740"/>
      <c r="I15" s="740"/>
      <c r="J15" s="740"/>
      <c r="K15" s="32"/>
      <c r="M15" s="216" t="s">
        <v>268</v>
      </c>
      <c r="N15" s="216">
        <v>1.3700050478224656E-2</v>
      </c>
    </row>
    <row r="16" spans="2:14" ht="14" customHeight="1" thickBot="1">
      <c r="B16" s="32"/>
      <c r="C16" s="32"/>
      <c r="D16" s="32"/>
      <c r="E16" s="32"/>
      <c r="F16" s="32"/>
      <c r="G16" s="32"/>
      <c r="H16" s="32"/>
      <c r="I16" s="32"/>
      <c r="J16" s="32"/>
      <c r="K16" s="32"/>
      <c r="M16" s="217" t="s">
        <v>269</v>
      </c>
      <c r="N16" s="217">
        <v>19</v>
      </c>
    </row>
    <row r="17" spans="2:21" ht="14" customHeight="1">
      <c r="B17" s="740" t="s">
        <v>294</v>
      </c>
      <c r="C17" s="740"/>
      <c r="D17" s="740"/>
      <c r="E17" s="740"/>
      <c r="F17" s="740"/>
      <c r="G17" s="740"/>
      <c r="H17" s="740"/>
      <c r="I17" s="740"/>
      <c r="J17" s="740"/>
      <c r="K17" s="32"/>
    </row>
    <row r="18" spans="2:21" ht="14" customHeight="1" thickBot="1">
      <c r="B18" s="740"/>
      <c r="C18" s="740"/>
      <c r="D18" s="740"/>
      <c r="E18" s="740"/>
      <c r="F18" s="740"/>
      <c r="G18" s="740"/>
      <c r="H18" s="740"/>
      <c r="I18" s="740"/>
      <c r="J18" s="740"/>
      <c r="K18" s="32"/>
      <c r="M18" t="s">
        <v>270</v>
      </c>
    </row>
    <row r="19" spans="2:21" ht="14" customHeight="1">
      <c r="B19" s="740"/>
      <c r="C19" s="740"/>
      <c r="D19" s="740"/>
      <c r="E19" s="740"/>
      <c r="F19" s="740"/>
      <c r="G19" s="740"/>
      <c r="H19" s="740"/>
      <c r="I19" s="740"/>
      <c r="J19" s="740"/>
      <c r="K19" s="32"/>
      <c r="M19" s="218"/>
      <c r="N19" s="218" t="s">
        <v>274</v>
      </c>
      <c r="O19" s="218" t="s">
        <v>275</v>
      </c>
      <c r="P19" s="218" t="s">
        <v>276</v>
      </c>
      <c r="Q19" s="218" t="s">
        <v>277</v>
      </c>
      <c r="R19" s="218" t="s">
        <v>278</v>
      </c>
    </row>
    <row r="20" spans="2:21" ht="14" customHeight="1">
      <c r="B20" s="32"/>
      <c r="C20" s="32"/>
      <c r="D20" s="32"/>
      <c r="E20" s="32"/>
      <c r="F20" s="32"/>
      <c r="G20" s="32"/>
      <c r="H20" s="32"/>
      <c r="I20" s="32"/>
      <c r="J20" s="32"/>
      <c r="K20" s="32"/>
      <c r="M20" s="216" t="s">
        <v>271</v>
      </c>
      <c r="N20" s="216">
        <v>2</v>
      </c>
      <c r="O20" s="216">
        <v>3.5900267597343575E-3</v>
      </c>
      <c r="P20" s="216">
        <v>1.7950133798671788E-3</v>
      </c>
      <c r="Q20" s="216">
        <v>9.5636429875651459</v>
      </c>
      <c r="R20" s="216">
        <v>1.8526914200409853E-3</v>
      </c>
    </row>
    <row r="21" spans="2:21" ht="14" customHeight="1">
      <c r="B21" s="32"/>
      <c r="C21" s="32"/>
      <c r="D21" s="32"/>
      <c r="E21" s="32"/>
      <c r="F21" s="32"/>
      <c r="G21" s="32"/>
      <c r="H21" s="32"/>
      <c r="I21" s="32"/>
      <c r="J21" s="32"/>
      <c r="K21" s="32"/>
      <c r="M21" s="216" t="s">
        <v>272</v>
      </c>
      <c r="N21" s="216">
        <v>16</v>
      </c>
      <c r="O21" s="216">
        <v>3.0030621296944582E-3</v>
      </c>
      <c r="P21" s="216">
        <v>1.8769138310590364E-4</v>
      </c>
      <c r="Q21" s="216"/>
      <c r="R21" s="216"/>
    </row>
    <row r="22" spans="2:21" ht="14" customHeight="1" thickBot="1">
      <c r="B22" s="32"/>
      <c r="C22" s="949" t="s">
        <v>255</v>
      </c>
      <c r="D22" s="798" t="s">
        <v>256</v>
      </c>
      <c r="E22" s="798" t="s">
        <v>257</v>
      </c>
      <c r="K22" s="32"/>
      <c r="M22" s="217" t="s">
        <v>106</v>
      </c>
      <c r="N22" s="217">
        <v>18</v>
      </c>
      <c r="O22" s="217">
        <v>6.5930888894288157E-3</v>
      </c>
      <c r="P22" s="217"/>
      <c r="Q22" s="217"/>
      <c r="R22" s="217"/>
    </row>
    <row r="23" spans="2:21" ht="14" customHeight="1" thickBot="1">
      <c r="B23" s="32"/>
      <c r="C23" s="948"/>
      <c r="D23" s="948"/>
      <c r="E23" s="948"/>
      <c r="K23" s="32"/>
    </row>
    <row r="24" spans="2:21" ht="14" customHeight="1">
      <c r="B24" s="32"/>
      <c r="C24" s="948"/>
      <c r="D24" s="948"/>
      <c r="E24" s="948"/>
      <c r="G24" s="798" t="s">
        <v>261</v>
      </c>
      <c r="H24" s="798" t="s">
        <v>260</v>
      </c>
      <c r="I24" s="798" t="s">
        <v>291</v>
      </c>
      <c r="J24" s="798" t="s">
        <v>262</v>
      </c>
      <c r="K24" s="32"/>
      <c r="M24" s="218"/>
      <c r="N24" s="218" t="s">
        <v>279</v>
      </c>
      <c r="O24" s="218" t="s">
        <v>268</v>
      </c>
      <c r="P24" s="218" t="s">
        <v>280</v>
      </c>
      <c r="Q24" s="218" t="s">
        <v>281</v>
      </c>
      <c r="R24" s="218" t="s">
        <v>282</v>
      </c>
      <c r="S24" s="218" t="s">
        <v>283</v>
      </c>
      <c r="T24" s="218" t="s">
        <v>284</v>
      </c>
      <c r="U24" s="218" t="s">
        <v>285</v>
      </c>
    </row>
    <row r="25" spans="2:21" ht="14" customHeight="1">
      <c r="B25" s="32"/>
      <c r="C25" s="948"/>
      <c r="D25" s="948"/>
      <c r="E25" s="948"/>
      <c r="G25" s="911"/>
      <c r="H25" s="911"/>
      <c r="I25" s="911"/>
      <c r="J25" s="911"/>
      <c r="K25" s="32"/>
      <c r="M25" s="216" t="s">
        <v>273</v>
      </c>
      <c r="N25" s="216">
        <v>-1.4664679971747726E-3</v>
      </c>
      <c r="O25" s="216">
        <v>5.7021931976806743E-3</v>
      </c>
      <c r="P25" s="216">
        <v>-0.25717613317122401</v>
      </c>
      <c r="Q25" s="216">
        <v>0.80032085522047958</v>
      </c>
      <c r="R25" s="216">
        <v>-1.355457749395614E-2</v>
      </c>
      <c r="S25" s="216">
        <v>1.0621641499606595E-2</v>
      </c>
      <c r="T25" s="216">
        <v>-1.355457749395614E-2</v>
      </c>
      <c r="U25" s="216">
        <v>1.0621641499606595E-2</v>
      </c>
    </row>
    <row r="26" spans="2:21" ht="14" customHeight="1">
      <c r="B26" s="32">
        <v>1965</v>
      </c>
      <c r="C26" s="32"/>
      <c r="D26" s="32">
        <v>8.5</v>
      </c>
      <c r="E26" s="32"/>
      <c r="F26" s="32"/>
      <c r="G26" s="32"/>
      <c r="H26" s="32"/>
      <c r="I26" s="32"/>
      <c r="J26" s="32"/>
      <c r="K26" s="32"/>
      <c r="M26" s="216">
        <v>1.8767673949707797E-2</v>
      </c>
      <c r="N26" s="216">
        <v>0.59670850976333467</v>
      </c>
      <c r="O26" s="216">
        <v>0.21167643770934871</v>
      </c>
      <c r="P26" s="216">
        <v>2.8189651914998235</v>
      </c>
      <c r="Q26" s="216">
        <v>1.234838619973359E-2</v>
      </c>
      <c r="R26" s="216">
        <v>0.14797451071889889</v>
      </c>
      <c r="S26" s="216">
        <v>1.0454425088077706</v>
      </c>
      <c r="T26" s="216">
        <v>0.14797451071889889</v>
      </c>
      <c r="U26" s="216">
        <v>1.0454425088077706</v>
      </c>
    </row>
    <row r="27" spans="2:21" ht="14" customHeight="1" thickBot="1">
      <c r="B27">
        <v>1966</v>
      </c>
      <c r="D27">
        <v>8.3000000000000007</v>
      </c>
      <c r="M27" s="217">
        <v>-2.7472385989053549E-2</v>
      </c>
      <c r="N27" s="217">
        <v>-0.23436783527948693</v>
      </c>
      <c r="O27" s="217">
        <v>0.22992443865512385</v>
      </c>
      <c r="P27" s="217">
        <v>-1.0193254647063767</v>
      </c>
      <c r="Q27" s="217">
        <v>0.32321492618199976</v>
      </c>
      <c r="R27" s="217">
        <v>-0.7217858679725232</v>
      </c>
      <c r="S27" s="217">
        <v>0.25305019741354928</v>
      </c>
      <c r="T27" s="217">
        <v>-0.7217858679725232</v>
      </c>
      <c r="U27" s="217">
        <v>0.25305019741354928</v>
      </c>
    </row>
    <row r="28" spans="2:21" ht="14" customHeight="1">
      <c r="B28">
        <v>1967</v>
      </c>
      <c r="D28">
        <v>8.1</v>
      </c>
    </row>
    <row r="29" spans="2:21" ht="14" customHeight="1">
      <c r="B29">
        <v>1968</v>
      </c>
      <c r="D29">
        <v>7.3</v>
      </c>
    </row>
    <row r="30" spans="2:21" ht="14" customHeight="1">
      <c r="B30">
        <v>1969</v>
      </c>
      <c r="D30">
        <v>6.9</v>
      </c>
      <c r="I30" s="15"/>
    </row>
    <row r="31" spans="2:21" ht="14" customHeight="1">
      <c r="B31">
        <v>1970</v>
      </c>
      <c r="C31" s="215">
        <v>4269.8999999999996</v>
      </c>
      <c r="D31" s="19">
        <v>7</v>
      </c>
      <c r="E31" s="215">
        <v>1392.2999</v>
      </c>
      <c r="I31" s="15">
        <f t="shared" ref="I31:I70" si="0">(D31/D26)^(1/(B31-B26))-1</f>
        <v>-3.8086936409554406E-2</v>
      </c>
      <c r="M31" t="s">
        <v>286</v>
      </c>
    </row>
    <row r="32" spans="2:21" ht="14" customHeight="1" thickBot="1">
      <c r="B32">
        <v>1971</v>
      </c>
      <c r="C32" s="215">
        <v>4413.3</v>
      </c>
      <c r="D32" s="19">
        <v>7.1</v>
      </c>
      <c r="E32" s="215">
        <v>1469.5402770000001</v>
      </c>
      <c r="G32" s="15">
        <f t="shared" ref="G32:G70" si="1">D32/D31-1</f>
        <v>1.4285714285714235E-2</v>
      </c>
      <c r="H32" s="15">
        <f t="shared" ref="H32:H70" si="2">C32/C31-1</f>
        <v>3.3583924682077049E-2</v>
      </c>
      <c r="I32" s="15">
        <f t="shared" si="0"/>
        <v>-3.0749460825419295E-2</v>
      </c>
      <c r="J32" s="15">
        <f t="shared" ref="J32:J70" si="3">E32/E31-1</f>
        <v>5.5476824353718701E-2</v>
      </c>
    </row>
    <row r="33" spans="2:15" ht="14" customHeight="1">
      <c r="B33">
        <v>1972</v>
      </c>
      <c r="C33" s="215">
        <v>4647.7</v>
      </c>
      <c r="D33" s="19">
        <v>7.1</v>
      </c>
      <c r="E33" s="215">
        <v>1595.160691</v>
      </c>
      <c r="G33" s="15">
        <f t="shared" si="1"/>
        <v>0</v>
      </c>
      <c r="H33" s="15">
        <f t="shared" si="2"/>
        <v>5.3112183626764509E-2</v>
      </c>
      <c r="I33" s="15">
        <f t="shared" si="0"/>
        <v>-2.6009623254230729E-2</v>
      </c>
      <c r="J33" s="15">
        <f t="shared" si="3"/>
        <v>8.5482797556558632E-2</v>
      </c>
      <c r="M33" s="218" t="s">
        <v>287</v>
      </c>
      <c r="N33" s="218" t="s">
        <v>293</v>
      </c>
      <c r="O33" s="218" t="s">
        <v>288</v>
      </c>
    </row>
    <row r="34" spans="2:15" ht="14" customHeight="1">
      <c r="B34">
        <v>1973</v>
      </c>
      <c r="C34" s="215">
        <v>4917</v>
      </c>
      <c r="D34" s="19">
        <v>7.1</v>
      </c>
      <c r="E34" s="215">
        <v>1712.9087810000001</v>
      </c>
      <c r="G34" s="15">
        <f t="shared" si="1"/>
        <v>0</v>
      </c>
      <c r="H34" s="15">
        <f t="shared" si="2"/>
        <v>5.7942638294210091E-2</v>
      </c>
      <c r="I34" s="15">
        <f t="shared" si="0"/>
        <v>-5.5405072815921663E-3</v>
      </c>
      <c r="J34" s="15">
        <f t="shared" si="3"/>
        <v>7.3815817217877999E-2</v>
      </c>
      <c r="M34" s="216">
        <v>1</v>
      </c>
      <c r="N34" s="216">
        <v>2.913332673234046E-3</v>
      </c>
      <c r="O34" s="216">
        <v>1.4349681329485189E-2</v>
      </c>
    </row>
    <row r="35" spans="2:15" ht="14" customHeight="1">
      <c r="B35">
        <v>1974</v>
      </c>
      <c r="C35" s="215">
        <v>4889.8999999999996</v>
      </c>
      <c r="D35" s="19">
        <v>8.1999999999999993</v>
      </c>
      <c r="E35" s="215">
        <v>1705.923726</v>
      </c>
      <c r="G35" s="15">
        <f t="shared" si="1"/>
        <v>0.15492957746478875</v>
      </c>
      <c r="H35" s="15">
        <f t="shared" si="2"/>
        <v>-5.5114907463901242E-3</v>
      </c>
      <c r="I35" s="15">
        <f t="shared" si="0"/>
        <v>3.5125368671915957E-2</v>
      </c>
      <c r="J35" s="15">
        <f t="shared" si="3"/>
        <v>-4.0778908237729672E-3</v>
      </c>
      <c r="M35" s="216">
        <v>2</v>
      </c>
      <c r="N35" s="216">
        <v>2.3391178236615056E-2</v>
      </c>
      <c r="O35" s="216">
        <v>-1.9529002760643049E-2</v>
      </c>
    </row>
    <row r="36" spans="2:15" ht="14" customHeight="1">
      <c r="B36">
        <v>1975</v>
      </c>
      <c r="C36" s="215">
        <v>4879.5</v>
      </c>
      <c r="D36" s="19">
        <v>8.6</v>
      </c>
      <c r="E36" s="215">
        <v>1747.090627</v>
      </c>
      <c r="G36" s="15">
        <f t="shared" si="1"/>
        <v>4.8780487804878092E-2</v>
      </c>
      <c r="H36" s="15">
        <f t="shared" si="2"/>
        <v>-2.1268328595676067E-3</v>
      </c>
      <c r="I36" s="15">
        <f t="shared" si="0"/>
        <v>4.2029663567281883E-2</v>
      </c>
      <c r="J36" s="15">
        <f t="shared" si="3"/>
        <v>2.4131736004708193E-2</v>
      </c>
      <c r="M36" s="216">
        <v>3</v>
      </c>
      <c r="N36" s="216">
        <v>1.8697261642164134E-2</v>
      </c>
      <c r="O36" s="216">
        <v>1.7024569098189377E-2</v>
      </c>
    </row>
    <row r="37" spans="2:15" ht="14" customHeight="1">
      <c r="B37">
        <v>1976</v>
      </c>
      <c r="C37" s="215">
        <v>5141.3</v>
      </c>
      <c r="D37" s="19">
        <v>8.6999999999999993</v>
      </c>
      <c r="E37" s="215">
        <v>1855.2460940000001</v>
      </c>
      <c r="G37" s="15">
        <f t="shared" si="1"/>
        <v>1.1627906976744207E-2</v>
      </c>
      <c r="H37" s="15">
        <f t="shared" si="2"/>
        <v>5.3653038221129323E-2</v>
      </c>
      <c r="I37" s="15">
        <f t="shared" si="0"/>
        <v>4.1482988906745177E-2</v>
      </c>
      <c r="J37" s="15">
        <f t="shared" si="3"/>
        <v>6.1906042725281107E-2</v>
      </c>
      <c r="M37" s="216">
        <v>4</v>
      </c>
      <c r="N37" s="216">
        <v>2.611966252954499E-2</v>
      </c>
      <c r="O37" s="216">
        <v>6.0342714989293847E-4</v>
      </c>
    </row>
    <row r="38" spans="2:15" ht="14" customHeight="1">
      <c r="B38">
        <v>1977</v>
      </c>
      <c r="C38" s="215">
        <v>5377.7</v>
      </c>
      <c r="D38" s="19">
        <v>9</v>
      </c>
      <c r="E38" s="215">
        <v>1948.361212</v>
      </c>
      <c r="G38" s="15">
        <f t="shared" si="1"/>
        <v>3.4482758620689724E-2</v>
      </c>
      <c r="H38" s="15">
        <f t="shared" si="2"/>
        <v>4.5980588567093861E-2</v>
      </c>
      <c r="I38" s="15">
        <f t="shared" si="0"/>
        <v>4.8568560823382123E-2</v>
      </c>
      <c r="J38" s="15">
        <f t="shared" si="3"/>
        <v>5.0190170620027619E-2</v>
      </c>
      <c r="M38" s="216">
        <v>5</v>
      </c>
      <c r="N38" s="216">
        <v>1.6982240552307942E-2</v>
      </c>
      <c r="O38" s="216">
        <v>9.982363698482339E-3</v>
      </c>
    </row>
    <row r="39" spans="2:15" ht="14" customHeight="1">
      <c r="B39">
        <v>1978</v>
      </c>
      <c r="C39" s="215">
        <v>5677.6</v>
      </c>
      <c r="D39" s="19">
        <v>9.1999999999999993</v>
      </c>
      <c r="E39" s="215">
        <v>2017.922</v>
      </c>
      <c r="G39" s="15">
        <f t="shared" si="1"/>
        <v>2.2222222222222143E-2</v>
      </c>
      <c r="H39" s="15">
        <f t="shared" si="2"/>
        <v>5.5767335477992619E-2</v>
      </c>
      <c r="I39" s="15">
        <f t="shared" si="0"/>
        <v>5.3187984490501439E-2</v>
      </c>
      <c r="J39" s="15">
        <f t="shared" si="3"/>
        <v>3.5702203252442999E-2</v>
      </c>
      <c r="M39" s="216">
        <v>6</v>
      </c>
      <c r="N39" s="216">
        <v>2.4997426630439693E-2</v>
      </c>
      <c r="O39" s="216">
        <v>3.3853023517348389E-3</v>
      </c>
    </row>
    <row r="40" spans="2:15" ht="14" customHeight="1">
      <c r="B40">
        <v>1979</v>
      </c>
      <c r="C40" s="215">
        <v>5855</v>
      </c>
      <c r="D40" s="19">
        <v>9.1</v>
      </c>
      <c r="E40" s="215">
        <v>2071.0990000000002</v>
      </c>
      <c r="G40" s="15">
        <f t="shared" si="1"/>
        <v>-1.0869565217391242E-2</v>
      </c>
      <c r="H40" s="15">
        <f t="shared" si="2"/>
        <v>3.1245596731013014E-2</v>
      </c>
      <c r="I40" s="15">
        <f t="shared" si="0"/>
        <v>2.1046469491486031E-2</v>
      </c>
      <c r="J40" s="15">
        <f t="shared" si="3"/>
        <v>2.6352356533106969E-2</v>
      </c>
      <c r="M40" s="216">
        <v>7</v>
      </c>
      <c r="N40" s="216">
        <v>2.9549688081954694E-2</v>
      </c>
      <c r="O40" s="216">
        <v>-1.4771643431154124E-2</v>
      </c>
    </row>
    <row r="41" spans="2:15" ht="14" customHeight="1">
      <c r="B41">
        <v>1980</v>
      </c>
      <c r="C41" s="215">
        <v>5839</v>
      </c>
      <c r="D41" s="19">
        <v>9.8000000000000007</v>
      </c>
      <c r="E41" s="215">
        <v>2094.4490000000001</v>
      </c>
      <c r="G41" s="15">
        <f t="shared" si="1"/>
        <v>7.6923076923077094E-2</v>
      </c>
      <c r="H41" s="15">
        <f t="shared" si="2"/>
        <v>-2.7327070879590298E-3</v>
      </c>
      <c r="I41" s="15">
        <f t="shared" si="0"/>
        <v>2.6468260090952711E-2</v>
      </c>
      <c r="J41" s="15">
        <f t="shared" si="3"/>
        <v>1.1274207558402471E-2</v>
      </c>
      <c r="M41" s="216">
        <v>8</v>
      </c>
      <c r="N41" s="216">
        <v>2.9953487712997016E-2</v>
      </c>
      <c r="O41" s="216">
        <v>7.3732652611049124E-3</v>
      </c>
    </row>
    <row r="42" spans="2:15" ht="14" customHeight="1">
      <c r="B42">
        <v>1981</v>
      </c>
      <c r="C42" s="215">
        <v>5987.2</v>
      </c>
      <c r="D42" s="19">
        <v>10.5</v>
      </c>
      <c r="E42" s="215">
        <v>2147.1028590000001</v>
      </c>
      <c r="G42" s="15">
        <f t="shared" si="1"/>
        <v>7.1428571428571397E-2</v>
      </c>
      <c r="H42" s="15">
        <f t="shared" si="2"/>
        <v>2.538105840041105E-2</v>
      </c>
      <c r="I42" s="15">
        <f t="shared" si="0"/>
        <v>3.8326670088616899E-2</v>
      </c>
      <c r="J42" s="15">
        <f t="shared" si="3"/>
        <v>2.5139718847295933E-2</v>
      </c>
      <c r="M42" s="216">
        <v>9</v>
      </c>
      <c r="N42" s="216">
        <v>3.3020165357115994E-2</v>
      </c>
      <c r="O42" s="216">
        <v>-1.5905398905311896E-2</v>
      </c>
    </row>
    <row r="43" spans="2:15" ht="14" customHeight="1">
      <c r="B43">
        <v>1982</v>
      </c>
      <c r="C43" s="215">
        <v>5870.9</v>
      </c>
      <c r="D43" s="19">
        <v>11</v>
      </c>
      <c r="E43" s="215">
        <v>2086.441354</v>
      </c>
      <c r="G43" s="15">
        <f t="shared" si="1"/>
        <v>4.7619047619047672E-2</v>
      </c>
      <c r="H43" s="15">
        <f t="shared" si="2"/>
        <v>-1.9424772848743999E-2</v>
      </c>
      <c r="I43" s="15">
        <f t="shared" si="0"/>
        <v>4.0950396969256841E-2</v>
      </c>
      <c r="J43" s="15">
        <f t="shared" si="3"/>
        <v>-2.8252724244544503E-2</v>
      </c>
      <c r="M43" s="216">
        <v>10</v>
      </c>
      <c r="N43" s="216">
        <v>2.7668733215049202E-2</v>
      </c>
      <c r="O43" s="216">
        <v>3.5164726448428385E-3</v>
      </c>
    </row>
    <row r="44" spans="2:15" ht="14" customHeight="1">
      <c r="B44">
        <v>1983</v>
      </c>
      <c r="C44" s="215">
        <v>6136.2</v>
      </c>
      <c r="D44" s="19">
        <v>10.9</v>
      </c>
      <c r="E44" s="215">
        <v>2150.954596</v>
      </c>
      <c r="G44" s="15">
        <f t="shared" si="1"/>
        <v>-9.0909090909090384E-3</v>
      </c>
      <c r="H44" s="15">
        <f t="shared" si="2"/>
        <v>4.5188982949803336E-2</v>
      </c>
      <c r="I44" s="15">
        <f t="shared" si="0"/>
        <v>3.4493423531187339E-2</v>
      </c>
      <c r="J44" s="15">
        <f t="shared" si="3"/>
        <v>3.0920227820599555E-2</v>
      </c>
      <c r="M44" s="216">
        <v>11</v>
      </c>
      <c r="N44" s="216">
        <v>6.2377809960370012E-3</v>
      </c>
      <c r="O44" s="216">
        <v>-1.605029689804538E-2</v>
      </c>
    </row>
    <row r="45" spans="2:15" ht="14" customHeight="1">
      <c r="B45">
        <v>1984</v>
      </c>
      <c r="C45" s="215">
        <v>6577.1</v>
      </c>
      <c r="D45" s="19">
        <v>10.46</v>
      </c>
      <c r="E45" s="215">
        <v>2285.796394</v>
      </c>
      <c r="G45" s="15">
        <f t="shared" si="1"/>
        <v>-4.0366972477064222E-2</v>
      </c>
      <c r="H45" s="15">
        <f t="shared" si="2"/>
        <v>7.1852286431342005E-2</v>
      </c>
      <c r="I45" s="15">
        <f t="shared" si="0"/>
        <v>2.8248437980851193E-2</v>
      </c>
      <c r="J45" s="15">
        <f t="shared" si="3"/>
        <v>6.2689281424515908E-2</v>
      </c>
      <c r="M45" s="216">
        <v>12</v>
      </c>
      <c r="N45" s="216">
        <v>1.0999016653780664E-2</v>
      </c>
      <c r="O45" s="216">
        <v>9.9572250023470862E-3</v>
      </c>
    </row>
    <row r="46" spans="2:15" ht="14" customHeight="1">
      <c r="B46">
        <v>1985</v>
      </c>
      <c r="C46" s="215">
        <v>6849.3</v>
      </c>
      <c r="D46" s="19">
        <v>10.46</v>
      </c>
      <c r="E46" s="215">
        <v>2323.9738520000001</v>
      </c>
      <c r="G46" s="15">
        <f t="shared" si="1"/>
        <v>0</v>
      </c>
      <c r="H46" s="15">
        <f t="shared" si="2"/>
        <v>4.1386021194751432E-2</v>
      </c>
      <c r="I46" s="15">
        <f t="shared" si="0"/>
        <v>1.3120543358279502E-2</v>
      </c>
      <c r="J46" s="15">
        <f t="shared" si="3"/>
        <v>1.6702037898131517E-2</v>
      </c>
      <c r="M46" s="216">
        <v>13</v>
      </c>
      <c r="N46" s="216">
        <v>1.32149573503601E-2</v>
      </c>
      <c r="O46" s="216">
        <v>-4.84997106810575E-3</v>
      </c>
    </row>
    <row r="47" spans="2:15" ht="14" customHeight="1">
      <c r="B47">
        <v>1986</v>
      </c>
      <c r="C47" s="215">
        <v>7086.5</v>
      </c>
      <c r="D47" s="19">
        <v>10.23</v>
      </c>
      <c r="E47" s="215">
        <v>2368.753052</v>
      </c>
      <c r="G47" s="15">
        <f t="shared" si="1"/>
        <v>-2.1988527724665419E-2</v>
      </c>
      <c r="H47" s="15">
        <f t="shared" si="2"/>
        <v>3.463127618880768E-2</v>
      </c>
      <c r="I47" s="15">
        <f t="shared" si="0"/>
        <v>-5.1965862256307949E-3</v>
      </c>
      <c r="J47" s="15">
        <f t="shared" si="3"/>
        <v>1.9268375141769933E-2</v>
      </c>
      <c r="M47" s="216">
        <v>14</v>
      </c>
      <c r="N47" s="216">
        <v>1.8582704104310968E-2</v>
      </c>
      <c r="O47" s="216">
        <v>-3.8584971623916303E-3</v>
      </c>
    </row>
    <row r="48" spans="2:15" ht="14" customHeight="1">
      <c r="B48">
        <v>1987</v>
      </c>
      <c r="C48" s="215">
        <v>7313.3</v>
      </c>
      <c r="D48" s="19">
        <v>9.84</v>
      </c>
      <c r="E48" s="215">
        <v>2457.272219</v>
      </c>
      <c r="G48" s="15">
        <f t="shared" si="1"/>
        <v>-3.8123167155425297E-2</v>
      </c>
      <c r="H48" s="15">
        <f t="shared" si="2"/>
        <v>3.2004515628307306E-2</v>
      </c>
      <c r="I48" s="15">
        <f t="shared" si="0"/>
        <v>-2.2041371849641389E-2</v>
      </c>
      <c r="J48" s="15">
        <f t="shared" si="3"/>
        <v>3.7369521033550068E-2</v>
      </c>
      <c r="M48" s="216">
        <v>15</v>
      </c>
      <c r="N48" s="216">
        <v>1.4017513955285003E-2</v>
      </c>
      <c r="O48" s="216">
        <v>1.1557257548908181E-2</v>
      </c>
    </row>
    <row r="49" spans="2:15" ht="14" customHeight="1">
      <c r="B49">
        <v>1988</v>
      </c>
      <c r="C49" s="215">
        <v>7613.9</v>
      </c>
      <c r="D49" s="19">
        <v>9.48</v>
      </c>
      <c r="E49" s="215">
        <v>2578.0624950000001</v>
      </c>
      <c r="G49" s="15">
        <f t="shared" si="1"/>
        <v>-3.6585365853658458E-2</v>
      </c>
      <c r="H49" s="15">
        <f t="shared" si="2"/>
        <v>4.1103195547837368E-2</v>
      </c>
      <c r="I49" s="15">
        <f t="shared" si="0"/>
        <v>-2.752965214666947E-2</v>
      </c>
      <c r="J49" s="15">
        <f t="shared" si="3"/>
        <v>4.9156245313820568E-2</v>
      </c>
      <c r="M49" s="216">
        <v>16</v>
      </c>
      <c r="N49" s="216">
        <v>1.1194522840621923E-2</v>
      </c>
      <c r="O49" s="216">
        <v>-9.6564927853063139E-3</v>
      </c>
    </row>
    <row r="50" spans="2:15" ht="14" customHeight="1">
      <c r="B50">
        <v>1989</v>
      </c>
      <c r="C50" s="215">
        <v>7885.9</v>
      </c>
      <c r="D50" s="19">
        <v>9.2799999999999994</v>
      </c>
      <c r="E50" s="215">
        <v>2755.6351530000002</v>
      </c>
      <c r="G50" s="15">
        <f t="shared" si="1"/>
        <v>-2.1097046413502185E-2</v>
      </c>
      <c r="H50" s="15">
        <f t="shared" si="2"/>
        <v>3.5724136119465788E-2</v>
      </c>
      <c r="I50" s="15">
        <f t="shared" si="0"/>
        <v>-2.3655108320233764E-2</v>
      </c>
      <c r="J50" s="15">
        <f t="shared" si="3"/>
        <v>6.8878337256909727E-2</v>
      </c>
      <c r="M50" s="216">
        <v>17</v>
      </c>
      <c r="N50" s="216">
        <v>5.6546306557930725E-3</v>
      </c>
      <c r="O50" s="216">
        <v>2.237081164864952E-2</v>
      </c>
    </row>
    <row r="51" spans="2:15" ht="14" customHeight="1">
      <c r="B51">
        <v>1990</v>
      </c>
      <c r="C51" s="215">
        <v>8033.9</v>
      </c>
      <c r="D51" s="19">
        <v>9.1</v>
      </c>
      <c r="E51" s="215">
        <v>2837.0836049999998</v>
      </c>
      <c r="G51" s="15">
        <f t="shared" si="1"/>
        <v>-1.93965517241379E-2</v>
      </c>
      <c r="H51" s="15">
        <f t="shared" si="2"/>
        <v>1.8767673949707797E-2</v>
      </c>
      <c r="I51" s="15">
        <f t="shared" si="0"/>
        <v>-2.7472385989053549E-2</v>
      </c>
      <c r="J51" s="15">
        <f t="shared" si="3"/>
        <v>2.9557052177726861E-2</v>
      </c>
      <c r="M51" s="216">
        <v>18</v>
      </c>
      <c r="N51" s="216">
        <v>-7.4940189669611169E-3</v>
      </c>
      <c r="O51" s="216">
        <v>3.0669933831603026E-3</v>
      </c>
    </row>
    <row r="52" spans="2:15" ht="14" customHeight="1" thickBot="1">
      <c r="B52">
        <v>1991</v>
      </c>
      <c r="C52" s="215">
        <v>8015.1</v>
      </c>
      <c r="D52" s="19">
        <v>9.0299999999999994</v>
      </c>
      <c r="E52" s="215">
        <v>2886.060219</v>
      </c>
      <c r="G52" s="15">
        <f t="shared" si="1"/>
        <v>-7.692307692307776E-3</v>
      </c>
      <c r="H52" s="15">
        <f t="shared" si="2"/>
        <v>-2.3400838944970248E-3</v>
      </c>
      <c r="I52" s="15">
        <f t="shared" si="0"/>
        <v>-2.464565428497123E-2</v>
      </c>
      <c r="J52" s="15">
        <f t="shared" si="3"/>
        <v>1.7263014002719235E-2</v>
      </c>
      <c r="M52" s="217">
        <v>19</v>
      </c>
      <c r="N52" s="217">
        <v>-2.3661359910925724E-2</v>
      </c>
      <c r="O52" s="217">
        <v>-1.8566066105839378E-2</v>
      </c>
    </row>
    <row r="53" spans="2:15" ht="14" customHeight="1">
      <c r="B53">
        <v>1992</v>
      </c>
      <c r="C53" s="215">
        <v>8287.1</v>
      </c>
      <c r="D53" s="19">
        <v>8.91</v>
      </c>
      <c r="E53" s="215">
        <v>2897.20669</v>
      </c>
      <c r="G53" s="15">
        <f t="shared" si="1"/>
        <v>-1.3289036544850363E-2</v>
      </c>
      <c r="H53" s="15">
        <f t="shared" si="2"/>
        <v>3.3935945902109799E-2</v>
      </c>
      <c r="I53" s="15">
        <f t="shared" si="0"/>
        <v>-1.9660456058903764E-2</v>
      </c>
      <c r="J53" s="15">
        <f t="shared" si="3"/>
        <v>3.8621754759720073E-3</v>
      </c>
    </row>
    <row r="54" spans="2:15" ht="14" customHeight="1">
      <c r="B54">
        <v>1993</v>
      </c>
      <c r="C54" s="215">
        <v>8523.4</v>
      </c>
      <c r="D54" s="19">
        <v>8.86</v>
      </c>
      <c r="E54" s="215">
        <v>3000.7002170000001</v>
      </c>
      <c r="G54" s="15">
        <f t="shared" si="1"/>
        <v>-5.6116722783390305E-3</v>
      </c>
      <c r="H54" s="15">
        <f t="shared" si="2"/>
        <v>2.8514196763644639E-2</v>
      </c>
      <c r="I54" s="15">
        <f t="shared" si="0"/>
        <v>-1.3436424745105091E-2</v>
      </c>
      <c r="J54" s="15">
        <f t="shared" si="3"/>
        <v>3.5721830740353511E-2</v>
      </c>
    </row>
    <row r="55" spans="2:15" ht="14" customHeight="1">
      <c r="B55">
        <v>1994</v>
      </c>
      <c r="C55" s="215">
        <v>8870.7000000000007</v>
      </c>
      <c r="D55" s="19">
        <v>8.65</v>
      </c>
      <c r="E55" s="215">
        <v>3080.8881980000001</v>
      </c>
      <c r="G55" s="15">
        <f t="shared" si="1"/>
        <v>-2.3702031602708673E-2</v>
      </c>
      <c r="H55" s="15">
        <f t="shared" si="2"/>
        <v>4.0746650397728734E-2</v>
      </c>
      <c r="I55" s="15">
        <f t="shared" si="0"/>
        <v>-1.3962058770313979E-2</v>
      </c>
      <c r="J55" s="15">
        <f t="shared" si="3"/>
        <v>2.6723089679437928E-2</v>
      </c>
    </row>
    <row r="56" spans="2:15" ht="14" customHeight="1">
      <c r="B56">
        <v>1995</v>
      </c>
      <c r="C56" s="215">
        <v>9093.7000000000007</v>
      </c>
      <c r="D56" s="19">
        <v>8.4499999999999993</v>
      </c>
      <c r="E56" s="215">
        <v>3163.9631290000002</v>
      </c>
      <c r="G56" s="15">
        <f t="shared" si="1"/>
        <v>-2.3121387283237094E-2</v>
      </c>
      <c r="H56" s="15">
        <f t="shared" si="2"/>
        <v>2.5138940557114964E-2</v>
      </c>
      <c r="I56" s="15">
        <f t="shared" si="0"/>
        <v>-1.4712295262298669E-2</v>
      </c>
      <c r="J56" s="15">
        <f t="shared" si="3"/>
        <v>2.6964604250790281E-2</v>
      </c>
    </row>
    <row r="57" spans="2:15" ht="14" customHeight="1">
      <c r="B57">
        <v>1996</v>
      </c>
      <c r="C57" s="215">
        <v>9433.9</v>
      </c>
      <c r="D57" s="19">
        <v>8.26</v>
      </c>
      <c r="E57" s="215">
        <v>3253.7650370000001</v>
      </c>
      <c r="G57" s="15">
        <f t="shared" si="1"/>
        <v>-2.2485207100591653E-2</v>
      </c>
      <c r="H57" s="15">
        <f t="shared" si="2"/>
        <v>3.7410514971903508E-2</v>
      </c>
      <c r="I57" s="15">
        <f t="shared" si="0"/>
        <v>-1.7667620577342169E-2</v>
      </c>
      <c r="J57" s="15">
        <f t="shared" si="3"/>
        <v>2.8382728982174532E-2</v>
      </c>
    </row>
    <row r="58" spans="2:15" ht="14" customHeight="1">
      <c r="B58">
        <v>1997</v>
      </c>
      <c r="C58" s="215">
        <v>9854.2999999999993</v>
      </c>
      <c r="D58" s="19">
        <v>8.1</v>
      </c>
      <c r="E58" s="215">
        <v>3301.849322</v>
      </c>
      <c r="G58" s="15">
        <f t="shared" si="1"/>
        <v>-1.937046004842613E-2</v>
      </c>
      <c r="H58" s="15">
        <f t="shared" si="2"/>
        <v>4.4562694113781109E-2</v>
      </c>
      <c r="I58" s="15">
        <f t="shared" si="0"/>
        <v>-1.8881504273735694E-2</v>
      </c>
      <c r="J58" s="15">
        <f t="shared" si="3"/>
        <v>1.477804465080057E-2</v>
      </c>
    </row>
    <row r="59" spans="2:15" ht="14" customHeight="1">
      <c r="B59">
        <v>1998</v>
      </c>
      <c r="C59" s="215">
        <v>10283.5</v>
      </c>
      <c r="D59" s="19">
        <v>7.88</v>
      </c>
      <c r="E59" s="215">
        <v>3425.0966360000002</v>
      </c>
      <c r="G59" s="15">
        <f t="shared" si="1"/>
        <v>-2.7160493827160459E-2</v>
      </c>
      <c r="H59" s="15">
        <f t="shared" si="2"/>
        <v>4.3554590381863934E-2</v>
      </c>
      <c r="I59" s="15">
        <f t="shared" si="0"/>
        <v>-2.3171101885978818E-2</v>
      </c>
      <c r="J59" s="15">
        <f t="shared" si="3"/>
        <v>3.7326752974101929E-2</v>
      </c>
    </row>
    <row r="60" spans="2:15" ht="14" customHeight="1">
      <c r="B60">
        <v>1999</v>
      </c>
      <c r="C60" s="215">
        <v>10779.8</v>
      </c>
      <c r="D60" s="19">
        <v>7.65</v>
      </c>
      <c r="E60" s="215">
        <v>3483.7163650000002</v>
      </c>
      <c r="G60" s="15">
        <f t="shared" si="1"/>
        <v>-2.9187817258883197E-2</v>
      </c>
      <c r="H60" s="15">
        <f t="shared" si="2"/>
        <v>4.8261778577332493E-2</v>
      </c>
      <c r="I60" s="15">
        <f t="shared" si="0"/>
        <v>-2.4271331320269041E-2</v>
      </c>
      <c r="J60" s="15">
        <f t="shared" si="3"/>
        <v>1.7114766451804098E-2</v>
      </c>
    </row>
    <row r="61" spans="2:15" ht="14" customHeight="1">
      <c r="B61">
        <v>2000</v>
      </c>
      <c r="C61" s="215">
        <v>11226</v>
      </c>
      <c r="D61" s="19">
        <v>7.68</v>
      </c>
      <c r="E61" s="215">
        <v>3592.356777</v>
      </c>
      <c r="G61" s="15">
        <f t="shared" si="1"/>
        <v>3.9215686274509665E-3</v>
      </c>
      <c r="H61" s="15">
        <f t="shared" si="2"/>
        <v>4.139223362214528E-2</v>
      </c>
      <c r="I61" s="15">
        <f t="shared" si="0"/>
        <v>-1.8927952150463612E-2</v>
      </c>
      <c r="J61" s="15">
        <f t="shared" si="3"/>
        <v>3.118520585989204E-2</v>
      </c>
    </row>
    <row r="62" spans="2:15" ht="14" customHeight="1">
      <c r="B62">
        <v>2001</v>
      </c>
      <c r="C62" s="215">
        <v>11347.2</v>
      </c>
      <c r="D62" s="19">
        <v>8.0399999999999991</v>
      </c>
      <c r="E62" s="215">
        <v>3557.1067189999999</v>
      </c>
      <c r="G62" s="15">
        <f t="shared" si="1"/>
        <v>4.6875E-2</v>
      </c>
      <c r="H62" s="15">
        <f t="shared" si="2"/>
        <v>1.0796365579903933E-2</v>
      </c>
      <c r="I62" s="15">
        <f t="shared" si="0"/>
        <v>-5.3845519188340241E-3</v>
      </c>
      <c r="J62" s="15">
        <f t="shared" si="3"/>
        <v>-9.8125159020083785E-3</v>
      </c>
    </row>
    <row r="63" spans="2:15" ht="14" customHeight="1">
      <c r="B63">
        <v>2002</v>
      </c>
      <c r="C63" s="215">
        <v>11553</v>
      </c>
      <c r="D63" s="19">
        <v>7.82</v>
      </c>
      <c r="E63" s="215">
        <v>3631.6503069999999</v>
      </c>
      <c r="G63" s="15">
        <f t="shared" si="1"/>
        <v>-2.736318407960181E-2</v>
      </c>
      <c r="H63" s="15">
        <f t="shared" si="2"/>
        <v>1.813663282571909E-2</v>
      </c>
      <c r="I63" s="15">
        <f t="shared" si="0"/>
        <v>-7.0112074186130524E-3</v>
      </c>
      <c r="J63" s="15">
        <f t="shared" si="3"/>
        <v>2.095624165612775E-2</v>
      </c>
    </row>
    <row r="64" spans="2:15" ht="14" customHeight="1">
      <c r="B64">
        <v>2003</v>
      </c>
      <c r="C64" s="215">
        <v>11840.7</v>
      </c>
      <c r="D64" s="19">
        <v>7.91</v>
      </c>
      <c r="E64" s="215">
        <v>3662.029012</v>
      </c>
      <c r="G64" s="15">
        <f t="shared" si="1"/>
        <v>1.1508951406649537E-2</v>
      </c>
      <c r="H64" s="15">
        <f t="shared" si="2"/>
        <v>2.4902622695403887E-2</v>
      </c>
      <c r="I64" s="15">
        <f t="shared" si="0"/>
        <v>7.6026443656695974E-4</v>
      </c>
      <c r="J64" s="15">
        <f t="shared" si="3"/>
        <v>8.3649862822543497E-3</v>
      </c>
    </row>
    <row r="65" spans="2:10" ht="14" customHeight="1">
      <c r="B65" s="213">
        <v>2004</v>
      </c>
      <c r="C65" s="215">
        <v>12263.8</v>
      </c>
      <c r="D65" s="19">
        <v>7.86</v>
      </c>
      <c r="E65" s="215">
        <v>3715.9494850000001</v>
      </c>
      <c r="G65" s="15">
        <f t="shared" si="1"/>
        <v>-6.321112515802807E-3</v>
      </c>
      <c r="H65" s="15">
        <f t="shared" si="2"/>
        <v>3.5732684723031483E-2</v>
      </c>
      <c r="I65" s="15">
        <f t="shared" si="0"/>
        <v>5.4308858035898577E-3</v>
      </c>
      <c r="J65" s="15">
        <f t="shared" si="3"/>
        <v>1.4724206941919338E-2</v>
      </c>
    </row>
    <row r="66" spans="2:10" ht="14" customHeight="1">
      <c r="B66" s="213">
        <v>2005</v>
      </c>
      <c r="C66" s="215">
        <v>12638.4</v>
      </c>
      <c r="D66" s="19">
        <v>8.14</v>
      </c>
      <c r="E66" s="215">
        <v>3810.9840439999998</v>
      </c>
      <c r="G66" s="15">
        <f t="shared" si="1"/>
        <v>3.5623409669211181E-2</v>
      </c>
      <c r="H66" s="15">
        <f t="shared" si="2"/>
        <v>3.0545181754431772E-2</v>
      </c>
      <c r="I66" s="15">
        <f t="shared" si="0"/>
        <v>1.1702066238768793E-2</v>
      </c>
      <c r="J66" s="15">
        <f t="shared" si="3"/>
        <v>2.5574771504193183E-2</v>
      </c>
    </row>
    <row r="67" spans="2:10" ht="14" customHeight="1">
      <c r="B67" s="213">
        <v>2006</v>
      </c>
      <c r="C67" s="215">
        <v>12976.2</v>
      </c>
      <c r="D67" s="19">
        <v>8.6199999999999992</v>
      </c>
      <c r="E67" s="215">
        <v>3816.845452</v>
      </c>
      <c r="G67" s="15">
        <f t="shared" si="1"/>
        <v>5.896805896805879E-2</v>
      </c>
      <c r="H67" s="15">
        <f t="shared" si="2"/>
        <v>2.6728066843904275E-2</v>
      </c>
      <c r="I67" s="15">
        <f t="shared" si="0"/>
        <v>1.4028691665660453E-2</v>
      </c>
      <c r="J67" s="15">
        <f t="shared" si="3"/>
        <v>1.538030055315609E-3</v>
      </c>
    </row>
    <row r="68" spans="2:10" ht="14" customHeight="1">
      <c r="B68" s="213">
        <v>2007</v>
      </c>
      <c r="C68" s="215">
        <v>13228.9</v>
      </c>
      <c r="D68" s="19">
        <v>8.6</v>
      </c>
      <c r="E68" s="215">
        <v>3923.8142339999999</v>
      </c>
      <c r="G68" s="15">
        <f t="shared" si="1"/>
        <v>-2.3201856148491462E-3</v>
      </c>
      <c r="H68" s="15">
        <f t="shared" si="2"/>
        <v>1.9474114147439048E-2</v>
      </c>
      <c r="I68" s="15">
        <f t="shared" si="0"/>
        <v>1.9197476366781041E-2</v>
      </c>
      <c r="J68" s="15">
        <f t="shared" si="3"/>
        <v>2.8025442304442594E-2</v>
      </c>
    </row>
    <row r="69" spans="2:10" ht="14" customHeight="1">
      <c r="B69" s="213">
        <v>2008</v>
      </c>
      <c r="C69" s="215">
        <v>13228.8</v>
      </c>
      <c r="D69" s="19">
        <v>8.98</v>
      </c>
      <c r="E69" s="215">
        <v>3906.4434080000001</v>
      </c>
      <c r="G69" s="15">
        <f t="shared" si="1"/>
        <v>4.4186046511627941E-2</v>
      </c>
      <c r="H69" s="15">
        <f t="shared" si="2"/>
        <v>-7.5592074927355313E-6</v>
      </c>
      <c r="I69" s="15">
        <f t="shared" si="0"/>
        <v>2.569909100011869E-2</v>
      </c>
      <c r="J69" s="15">
        <f t="shared" si="3"/>
        <v>-4.4270255838008143E-3</v>
      </c>
    </row>
    <row r="70" spans="2:10" ht="14" customHeight="1">
      <c r="B70" s="214">
        <v>2009</v>
      </c>
      <c r="C70" s="215">
        <v>12880.6</v>
      </c>
      <c r="D70" s="19">
        <v>9.01</v>
      </c>
      <c r="E70" s="215">
        <v>3741.4843580000002</v>
      </c>
      <c r="G70" s="15">
        <f t="shared" si="1"/>
        <v>3.3407572383072903E-3</v>
      </c>
      <c r="H70" s="15">
        <f t="shared" si="2"/>
        <v>-2.6321359458151838E-2</v>
      </c>
      <c r="I70" s="15">
        <f t="shared" si="0"/>
        <v>2.7686020689631885E-2</v>
      </c>
      <c r="J70" s="15">
        <f t="shared" si="3"/>
        <v>-4.2227426016765102E-2</v>
      </c>
    </row>
    <row r="71" spans="2:10" ht="14" customHeight="1">
      <c r="B71" s="214">
        <v>2010</v>
      </c>
      <c r="C71" s="215">
        <v>13248.2</v>
      </c>
    </row>
    <row r="73" spans="2:10" ht="14" customHeight="1">
      <c r="D73" s="948" t="s">
        <v>259</v>
      </c>
      <c r="E73" s="948" t="s">
        <v>258</v>
      </c>
    </row>
    <row r="74" spans="2:10" ht="14" customHeight="1">
      <c r="D74" s="911"/>
      <c r="E74" s="911"/>
    </row>
    <row r="75" spans="2:10" ht="14" customHeight="1">
      <c r="D75" s="911"/>
      <c r="E75" s="911"/>
    </row>
  </sheetData>
  <mergeCells count="13">
    <mergeCell ref="B5:J7"/>
    <mergeCell ref="B9:J11"/>
    <mergeCell ref="B13:J15"/>
    <mergeCell ref="B17:J19"/>
    <mergeCell ref="C22:C25"/>
    <mergeCell ref="D22:D25"/>
    <mergeCell ref="E22:E25"/>
    <mergeCell ref="D73:D75"/>
    <mergeCell ref="E73:E75"/>
    <mergeCell ref="H24:H25"/>
    <mergeCell ref="G24:G25"/>
    <mergeCell ref="J24:J25"/>
    <mergeCell ref="I24:I25"/>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30"/>
  <sheetViews>
    <sheetView workbookViewId="0"/>
  </sheetViews>
  <sheetFormatPr baseColWidth="10" defaultColWidth="10.6640625" defaultRowHeight="17" customHeight="1" x14ac:dyDescent="0"/>
  <cols>
    <col min="1" max="1" width="2.6640625" customWidth="1"/>
    <col min="2" max="2" width="23.1640625" customWidth="1"/>
    <col min="3" max="3" width="106.83203125" customWidth="1"/>
  </cols>
  <sheetData>
    <row r="1" spans="2:3" ht="17" customHeight="1">
      <c r="B1" s="543" t="s">
        <v>787</v>
      </c>
      <c r="C1" s="237">
        <f>Summary!F3</f>
        <v>41674</v>
      </c>
    </row>
    <row r="2" spans="2:3" ht="17" customHeight="1">
      <c r="B2" s="544"/>
    </row>
    <row r="3" spans="2:3" ht="17" customHeight="1">
      <c r="B3" s="544" t="s">
        <v>1065</v>
      </c>
    </row>
    <row r="4" spans="2:3" ht="17" customHeight="1">
      <c r="B4" s="544"/>
    </row>
    <row r="5" spans="2:3" ht="17" customHeight="1">
      <c r="B5" s="8" t="s">
        <v>788</v>
      </c>
      <c r="C5" s="8" t="s">
        <v>789</v>
      </c>
    </row>
    <row r="7" spans="2:3" ht="17" customHeight="1">
      <c r="B7" s="96" t="s">
        <v>104</v>
      </c>
      <c r="C7" s="153" t="s">
        <v>793</v>
      </c>
    </row>
    <row r="8" spans="2:3" ht="17" customHeight="1">
      <c r="B8" s="96" t="s">
        <v>787</v>
      </c>
      <c r="C8" s="153" t="s">
        <v>792</v>
      </c>
    </row>
    <row r="9" spans="2:3" ht="17" customHeight="1">
      <c r="B9" s="96" t="s">
        <v>996</v>
      </c>
      <c r="C9" s="722" t="s">
        <v>1062</v>
      </c>
    </row>
    <row r="10" spans="2:3" ht="17" customHeight="1">
      <c r="B10" s="96" t="s">
        <v>20</v>
      </c>
      <c r="C10" s="32" t="s">
        <v>794</v>
      </c>
    </row>
    <row r="11" spans="2:3" ht="17" customHeight="1">
      <c r="B11" s="96" t="s">
        <v>19</v>
      </c>
      <c r="C11" s="32" t="s">
        <v>800</v>
      </c>
    </row>
    <row r="12" spans="2:3" ht="17" customHeight="1">
      <c r="B12" s="96" t="s">
        <v>784</v>
      </c>
      <c r="C12" s="32" t="s">
        <v>795</v>
      </c>
    </row>
    <row r="13" spans="2:3" ht="17" customHeight="1">
      <c r="B13" s="96" t="s">
        <v>646</v>
      </c>
      <c r="C13" s="32" t="s">
        <v>796</v>
      </c>
    </row>
    <row r="14" spans="2:3" ht="17" customHeight="1">
      <c r="B14" s="96" t="s">
        <v>107</v>
      </c>
      <c r="C14" s="32" t="str">
        <f>CONCATENATE("First of six sector-specific tabs, covering fossil-fuel electricity generation, which accounted for ",ROUND(Summary!H121*100,1), "% of emissions in 2012.")</f>
        <v>First of six sector-specific tabs, covering fossil-fuel electricity generation, which accounted for 39% of emissions in 2012.</v>
      </c>
    </row>
    <row r="15" spans="2:3" ht="17" customHeight="1">
      <c r="B15" s="96" t="s">
        <v>158</v>
      </c>
      <c r="C15" s="32" t="str">
        <f>CONCATENATE("Second of six sector-specific tabs, covering passenger and recreational vehicles accounting for ",ROUND(Summary!H122*100,1), "% of emissions in 2012.")</f>
        <v>Second of six sector-specific tabs, covering passenger and recreational vehicles accounting for 22.7% of emissions in 2012.</v>
      </c>
    </row>
    <row r="16" spans="2:3" ht="17" customHeight="1">
      <c r="B16" s="96" t="s">
        <v>163</v>
      </c>
      <c r="C16" s="32" t="str">
        <f>CONCATENATE("Third of six sector-specific tabs, covering goods movement by trucks, ships and planes accounting for ",ROUND(Summary!H123*100,1), "% of emissions in 2012.")</f>
        <v>Third of six sector-specific tabs, covering goods movement by trucks, ships and planes accounting for 9% of emissions in 2012.</v>
      </c>
    </row>
    <row r="17" spans="2:3" ht="17" customHeight="1">
      <c r="B17" s="96" t="s">
        <v>11</v>
      </c>
      <c r="C17" s="32" t="str">
        <f>CONCATENATE("Fourth of six sector-specific tabs, covering air-passenger travel, which accounted for ",ROUND(Summary!H124*100,1), "% of emissions in 2012.")</f>
        <v>Fourth of six sector-specific tabs, covering air-passenger travel, which accounted for 4% of emissions in 2012.</v>
      </c>
    </row>
    <row r="18" spans="2:3" ht="17" customHeight="1">
      <c r="B18" s="96" t="s">
        <v>790</v>
      </c>
      <c r="C18" s="32" t="str">
        <f>CONCATENATE("Fifth of six sector-specific tabs, covering use of oil in industry, heating, etc., which accounted for ",ROUND(Summary!H125*100,1), "% of emissions in 2012.")</f>
        <v>Fifth of six sector-specific tabs, covering use of oil in industry, heating, etc., which accounted for 15.3% of emissions in 2012.</v>
      </c>
    </row>
    <row r="19" spans="2:3" ht="17" customHeight="1">
      <c r="B19" s="96" t="s">
        <v>791</v>
      </c>
      <c r="C19" s="32" t="str">
        <f>CONCATENATE("Sixth of six sector-specific tabs, covering use of natural gas in industry, heating, etc., accounting for ",ROUND(Summary!H126*100,1), "% of emissions in 2012.")</f>
        <v>Sixth of six sector-specific tabs, covering use of natural gas in industry, heating, etc., accounting for 10.1% of emissions in 2012.</v>
      </c>
    </row>
    <row r="20" spans="2:3" ht="17" customHeight="1">
      <c r="B20" s="96" t="s">
        <v>602</v>
      </c>
      <c r="C20" s="32" t="s">
        <v>797</v>
      </c>
    </row>
    <row r="21" spans="2:3" ht="17" customHeight="1">
      <c r="B21" s="96" t="s">
        <v>168</v>
      </c>
      <c r="C21" s="32" t="s">
        <v>798</v>
      </c>
    </row>
    <row r="22" spans="2:3" ht="17" customHeight="1">
      <c r="B22" s="96" t="s">
        <v>333</v>
      </c>
      <c r="C22" s="32" t="s">
        <v>801</v>
      </c>
    </row>
    <row r="23" spans="2:3" ht="17" customHeight="1">
      <c r="B23" s="96" t="s">
        <v>601</v>
      </c>
      <c r="C23" s="32" t="s">
        <v>802</v>
      </c>
    </row>
    <row r="24" spans="2:3" ht="17" customHeight="1">
      <c r="B24" s="96" t="s">
        <v>334</v>
      </c>
      <c r="C24" s="32" t="s">
        <v>799</v>
      </c>
    </row>
    <row r="25" spans="2:3" ht="17" customHeight="1">
      <c r="B25" s="96" t="s">
        <v>893</v>
      </c>
      <c r="C25" s="32" t="s">
        <v>919</v>
      </c>
    </row>
    <row r="26" spans="2:3" ht="17" customHeight="1">
      <c r="B26" s="96" t="s">
        <v>940</v>
      </c>
      <c r="C26" s="32" t="s">
        <v>941</v>
      </c>
    </row>
    <row r="27" spans="2:3" ht="17" customHeight="1">
      <c r="B27" s="96" t="s">
        <v>818</v>
      </c>
      <c r="C27" s="32" t="s">
        <v>820</v>
      </c>
    </row>
    <row r="28" spans="2:3" ht="17" customHeight="1">
      <c r="C28" s="449"/>
    </row>
    <row r="29" spans="2:3" ht="17" customHeight="1">
      <c r="C29" s="449"/>
    </row>
    <row r="30" spans="2:3" ht="17" customHeight="1">
      <c r="C30" s="449"/>
    </row>
  </sheetData>
  <hyperlinks>
    <hyperlink ref="B7" location="Summary!A5" display="Summary"/>
    <hyperlink ref="B8" location="Index!A1" display="Index"/>
    <hyperlink ref="B10" location="Graph_CO2!A36" display="Graph_CO2"/>
    <hyperlink ref="B11" location="Graph_Oil!A30" display="Graph_Oil"/>
    <hyperlink ref="B12" location="Graph_Revenue!A37" display="Graph_Revenue"/>
    <hyperlink ref="B13" location="How!A4" display="How"/>
    <hyperlink ref="B14" location="Electricity!A4" display="Electricity"/>
    <hyperlink ref="B15" location="'Personal Ground Travel'!A1" display="Personal Ground Travel"/>
    <hyperlink ref="B16" location="Freight!A1" display="Freight"/>
    <hyperlink ref="B17" location="Aviation!A1" display="Aviation"/>
    <hyperlink ref="B18" location="Other_Petrol!A1" display="Other_Petrol"/>
    <hyperlink ref="B19" location="'Other_Natural Gas'!A1" display="Other_Natural Gas"/>
    <hyperlink ref="B20" location="AEO!A1" display="AEO"/>
    <hyperlink ref="B21" location="Parameters!A1" display="Parameters"/>
    <hyperlink ref="B22" location="Emissions!A1" display="Emissions"/>
    <hyperlink ref="B23" location="Energy!A1" display="Energy"/>
    <hyperlink ref="B24" location="'GHG''s'!A1" display="GHG's"/>
    <hyperlink ref="B26" location="Revenue!A1" display="Revenue"/>
    <hyperlink ref="B27" location="Setting!A1" display="Setting"/>
    <hyperlink ref="B25" location="'Other Graphs'!A1" display="Other Graphs"/>
    <hyperlink ref="B9" location="Baucus!A3" display="Baucus"/>
  </hyperlinks>
  <pageMargins left="0.7" right="0.7" top="0.75" bottom="0.75" header="0.3" footer="0.3"/>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16"/>
  <sheetViews>
    <sheetView workbookViewId="0"/>
  </sheetViews>
  <sheetFormatPr baseColWidth="10" defaultColWidth="10.6640625" defaultRowHeight="11" x14ac:dyDescent="0"/>
  <cols>
    <col min="1" max="1" width="2.6640625" customWidth="1"/>
  </cols>
  <sheetData>
    <row r="1" spans="2:6" ht="13">
      <c r="B1" s="59" t="s">
        <v>893</v>
      </c>
    </row>
    <row r="5" spans="2:6" ht="12">
      <c r="B5" s="1" t="s">
        <v>894</v>
      </c>
    </row>
    <row r="7" spans="2:6">
      <c r="B7" t="s">
        <v>107</v>
      </c>
      <c r="E7" s="22">
        <f>Summary!P121</f>
        <v>2035.4943018923852</v>
      </c>
      <c r="F7" s="5">
        <f t="shared" ref="F7:F13" si="0">E7/E$13</f>
        <v>0.3898925883177754</v>
      </c>
    </row>
    <row r="8" spans="2:6">
      <c r="B8" t="s">
        <v>158</v>
      </c>
      <c r="E8" s="22">
        <f>Summary!P122</f>
        <v>1184.1450943945235</v>
      </c>
      <c r="F8" s="5">
        <f t="shared" si="0"/>
        <v>0.22681930151710458</v>
      </c>
    </row>
    <row r="9" spans="2:6">
      <c r="B9" t="s">
        <v>884</v>
      </c>
      <c r="E9" s="22">
        <f>Summary!P123</f>
        <v>467.46444589680084</v>
      </c>
      <c r="F9" s="5">
        <f t="shared" si="0"/>
        <v>8.9541357393037951E-2</v>
      </c>
    </row>
    <row r="10" spans="2:6">
      <c r="B10" s="32" t="s">
        <v>937</v>
      </c>
      <c r="E10" s="22">
        <f>Summary!P124</f>
        <v>207.27186784784001</v>
      </c>
      <c r="F10" s="5">
        <f t="shared" si="0"/>
        <v>3.9702280161394814E-2</v>
      </c>
    </row>
    <row r="11" spans="2:6">
      <c r="B11" t="s">
        <v>885</v>
      </c>
      <c r="E11" s="22">
        <f>Summary!P125</f>
        <v>799.99115607948818</v>
      </c>
      <c r="F11" s="5">
        <f t="shared" si="0"/>
        <v>0.15323581214900966</v>
      </c>
    </row>
    <row r="12" spans="2:6">
      <c r="B12" s="32" t="s">
        <v>938</v>
      </c>
      <c r="E12" s="22">
        <f>Summary!P126</f>
        <v>526.28713676369762</v>
      </c>
      <c r="F12" s="5">
        <f t="shared" si="0"/>
        <v>0.10080866046167768</v>
      </c>
    </row>
    <row r="13" spans="2:6">
      <c r="B13" t="s">
        <v>886</v>
      </c>
      <c r="E13" s="38">
        <f>SUM(E7:E12)</f>
        <v>5220.6540028747349</v>
      </c>
      <c r="F13" s="5">
        <f t="shared" si="0"/>
        <v>1</v>
      </c>
    </row>
    <row r="45" spans="2:11" ht="12">
      <c r="B45" s="1" t="s">
        <v>895</v>
      </c>
    </row>
    <row r="47" spans="2:11">
      <c r="D47" s="666" t="s">
        <v>48</v>
      </c>
      <c r="E47" s="665" t="s">
        <v>872</v>
      </c>
      <c r="F47" s="665" t="s">
        <v>845</v>
      </c>
      <c r="G47" s="665" t="s">
        <v>162</v>
      </c>
      <c r="H47" s="665" t="s">
        <v>846</v>
      </c>
      <c r="I47" s="665" t="s">
        <v>847</v>
      </c>
      <c r="J47" s="665" t="s">
        <v>848</v>
      </c>
      <c r="K47" s="667" t="s">
        <v>868</v>
      </c>
    </row>
    <row r="49" spans="2:12">
      <c r="B49" s="680">
        <v>2012</v>
      </c>
      <c r="D49" s="215">
        <f>Electricity!D212/1000</f>
        <v>1517</v>
      </c>
      <c r="E49" s="215">
        <f>Electricity!F212/1000</f>
        <v>1231</v>
      </c>
      <c r="F49" s="215">
        <f>Electricity!G212/1000</f>
        <v>769</v>
      </c>
      <c r="G49" s="215">
        <f>(Electricity!M212+Electricity!E212+Electricity!I212+Electricity!J212)/1000</f>
        <v>121</v>
      </c>
      <c r="H49" s="215">
        <f>Electricity!H212/1000</f>
        <v>272</v>
      </c>
      <c r="I49" s="215">
        <f>Electricity!K212/1000</f>
        <v>140</v>
      </c>
      <c r="J49" s="215">
        <f>Electricity!L212/1000</f>
        <v>4.34</v>
      </c>
      <c r="K49" s="215">
        <f>Electricity!N212/1000</f>
        <v>4054</v>
      </c>
      <c r="L49" s="215">
        <f>SUM(D49:J49)</f>
        <v>4054.34</v>
      </c>
    </row>
    <row r="50" spans="2:12">
      <c r="B50" s="680"/>
      <c r="D50" s="5">
        <f t="shared" ref="D50:J50" si="1">D49/$K49</f>
        <v>0.37419832264430192</v>
      </c>
      <c r="E50" s="5">
        <f t="shared" si="1"/>
        <v>0.30365071534287125</v>
      </c>
      <c r="F50" s="5">
        <f t="shared" si="1"/>
        <v>0.18968919585594474</v>
      </c>
      <c r="G50" s="5">
        <f t="shared" si="1"/>
        <v>2.9847064627528366E-2</v>
      </c>
      <c r="H50" s="5">
        <f t="shared" si="1"/>
        <v>6.7094227923038971E-2</v>
      </c>
      <c r="I50" s="5">
        <f t="shared" si="1"/>
        <v>3.4533793783917119E-2</v>
      </c>
      <c r="J50" s="5">
        <f t="shared" si="1"/>
        <v>1.0705476073014308E-3</v>
      </c>
      <c r="K50" s="215"/>
      <c r="L50" s="215"/>
    </row>
    <row r="51" spans="2:12">
      <c r="B51" s="680"/>
      <c r="D51" s="215"/>
      <c r="E51" s="215"/>
      <c r="F51" s="215"/>
      <c r="G51" s="215"/>
      <c r="H51" s="215"/>
      <c r="I51" s="215"/>
      <c r="J51" s="215"/>
      <c r="K51" s="215"/>
      <c r="L51" s="215"/>
    </row>
    <row r="52" spans="2:12">
      <c r="B52" s="153" t="s">
        <v>896</v>
      </c>
      <c r="D52" s="215">
        <f>Electricity!D218/1000</f>
        <v>1240</v>
      </c>
      <c r="E52" s="215">
        <f>Electricity!F218/1000</f>
        <v>2000</v>
      </c>
      <c r="F52" s="215">
        <f>Electricity!G218/1000</f>
        <v>769</v>
      </c>
      <c r="G52" s="215">
        <f>(Electricity!M218+Electricity!E218+Electricity!I218+Electricity!J218)/1000</f>
        <v>121</v>
      </c>
      <c r="H52" s="215">
        <f>Electricity!H218/1000</f>
        <v>272</v>
      </c>
      <c r="I52" s="215">
        <f>Electricity!K218/1000</f>
        <v>326</v>
      </c>
      <c r="J52" s="215">
        <f>Electricity!L218/1000</f>
        <v>66</v>
      </c>
      <c r="K52" s="215">
        <f>Electricity!N218/1000</f>
        <v>4794</v>
      </c>
      <c r="L52" s="215">
        <f>SUM(D52:J52)</f>
        <v>4794</v>
      </c>
    </row>
    <row r="53" spans="2:12">
      <c r="B53" s="153"/>
      <c r="D53" s="5">
        <f t="shared" ref="D53:J53" si="2">D52/$K52</f>
        <v>0.25865665415102213</v>
      </c>
      <c r="E53" s="5">
        <f t="shared" si="2"/>
        <v>0.41718815185648728</v>
      </c>
      <c r="F53" s="5">
        <f t="shared" si="2"/>
        <v>0.16040884438881936</v>
      </c>
      <c r="G53" s="5">
        <f t="shared" si="2"/>
        <v>2.5239883187317479E-2</v>
      </c>
      <c r="H53" s="5">
        <f t="shared" si="2"/>
        <v>5.6737588652482268E-2</v>
      </c>
      <c r="I53" s="5">
        <f t="shared" si="2"/>
        <v>6.8001668752607422E-2</v>
      </c>
      <c r="J53" s="5">
        <f t="shared" si="2"/>
        <v>1.3767209011264081E-2</v>
      </c>
      <c r="K53" s="215"/>
      <c r="L53" s="215"/>
    </row>
    <row r="54" spans="2:12">
      <c r="B54" s="153"/>
      <c r="D54" s="215"/>
      <c r="E54" s="215"/>
      <c r="F54" s="215"/>
      <c r="G54" s="215"/>
      <c r="H54" s="215"/>
      <c r="I54" s="215"/>
      <c r="J54" s="215"/>
      <c r="K54" s="215"/>
      <c r="L54" s="215"/>
    </row>
    <row r="55" spans="2:12">
      <c r="B55" s="153" t="s">
        <v>897</v>
      </c>
      <c r="D55" s="215">
        <f>Electricity!D226/1000</f>
        <v>600</v>
      </c>
      <c r="E55" s="215">
        <f>Electricity!F226/1000</f>
        <v>840</v>
      </c>
      <c r="F55" s="215">
        <f>Electricity!G226/1000</f>
        <v>769</v>
      </c>
      <c r="G55" s="215">
        <f>(Electricity!M226+Electricity!E226+Electricity!I226+Electricity!J226)/1000</f>
        <v>121</v>
      </c>
      <c r="H55" s="215">
        <f>Electricity!H226/1000</f>
        <v>272</v>
      </c>
      <c r="I55" s="215">
        <f>Electricity!K226/1000</f>
        <v>1040</v>
      </c>
      <c r="J55" s="215">
        <f>Electricity!L226/1000</f>
        <v>176</v>
      </c>
      <c r="K55" s="215">
        <f>Electricity!N226/1000</f>
        <v>3818</v>
      </c>
      <c r="L55" s="215">
        <f>SUM(D55:J55)</f>
        <v>3818</v>
      </c>
    </row>
    <row r="56" spans="2:12">
      <c r="B56" s="153"/>
      <c r="D56" s="5">
        <f t="shared" ref="D56:J56" si="3">D55/$K55</f>
        <v>0.15715034049240439</v>
      </c>
      <c r="E56" s="5">
        <f t="shared" si="3"/>
        <v>0.22001047668936616</v>
      </c>
      <c r="F56" s="5">
        <f t="shared" si="3"/>
        <v>0.20141435306443164</v>
      </c>
      <c r="G56" s="5">
        <f t="shared" si="3"/>
        <v>3.1691985332634891E-2</v>
      </c>
      <c r="H56" s="5">
        <f t="shared" si="3"/>
        <v>7.1241487689889998E-2</v>
      </c>
      <c r="I56" s="5">
        <f t="shared" si="3"/>
        <v>0.27239392352016761</v>
      </c>
      <c r="J56" s="5">
        <f t="shared" si="3"/>
        <v>4.6097433211105293E-2</v>
      </c>
      <c r="K56" s="215"/>
      <c r="L56" s="215"/>
    </row>
    <row r="57" spans="2:12">
      <c r="B57" s="153"/>
      <c r="D57" s="215"/>
      <c r="E57" s="215"/>
      <c r="F57" s="215"/>
      <c r="G57" s="215"/>
      <c r="H57" s="215"/>
      <c r="I57" s="215"/>
      <c r="J57" s="215"/>
      <c r="K57" s="215"/>
      <c r="L57" s="215"/>
    </row>
    <row r="58" spans="2:12">
      <c r="B58" s="153" t="s">
        <v>898</v>
      </c>
      <c r="D58" s="215">
        <f>Electricity!D234/1000</f>
        <v>350</v>
      </c>
      <c r="E58" s="215">
        <f>Electricity!F234/1000</f>
        <v>1490</v>
      </c>
      <c r="F58" s="215">
        <f>Electricity!G234/1000</f>
        <v>769</v>
      </c>
      <c r="G58" s="215">
        <f>(Electricity!M234+Electricity!E234+Electricity!I234+Electricity!J234)/1000</f>
        <v>121</v>
      </c>
      <c r="H58" s="215">
        <f>Electricity!H234/1000</f>
        <v>272</v>
      </c>
      <c r="I58" s="215">
        <f>Electricity!K234/1000</f>
        <v>441</v>
      </c>
      <c r="J58" s="215">
        <f>Electricity!L234/1000</f>
        <v>375</v>
      </c>
      <c r="K58" s="215">
        <f>Electricity!N234/1000</f>
        <v>3818</v>
      </c>
      <c r="L58" s="215">
        <f>SUM(D58:J58)</f>
        <v>3818</v>
      </c>
    </row>
    <row r="59" spans="2:12">
      <c r="D59" s="5">
        <f t="shared" ref="D59:J59" si="4">D58/$K58</f>
        <v>9.1671031953902568E-2</v>
      </c>
      <c r="E59" s="5">
        <f t="shared" si="4"/>
        <v>0.39025667888947091</v>
      </c>
      <c r="F59" s="5">
        <f t="shared" si="4"/>
        <v>0.20141435306443164</v>
      </c>
      <c r="G59" s="5">
        <f t="shared" si="4"/>
        <v>3.1691985332634891E-2</v>
      </c>
      <c r="H59" s="5">
        <f t="shared" si="4"/>
        <v>7.1241487689889998E-2</v>
      </c>
      <c r="I59" s="5">
        <f t="shared" si="4"/>
        <v>0.11550550026191723</v>
      </c>
      <c r="J59" s="5">
        <f t="shared" si="4"/>
        <v>9.8218962807752747E-2</v>
      </c>
    </row>
    <row r="60" spans="2:12">
      <c r="D60" s="215"/>
    </row>
    <row r="100" spans="2:8" ht="12">
      <c r="B100" s="1" t="s">
        <v>899</v>
      </c>
    </row>
    <row r="102" spans="2:8">
      <c r="D102" s="12">
        <v>2012</v>
      </c>
      <c r="E102" s="12" t="s">
        <v>902</v>
      </c>
      <c r="F102" s="12" t="s">
        <v>901</v>
      </c>
      <c r="G102" s="12" t="s">
        <v>900</v>
      </c>
    </row>
    <row r="103" spans="2:8">
      <c r="B103" s="449" t="s">
        <v>48</v>
      </c>
      <c r="C103" s="682"/>
      <c r="D103" s="683">
        <f>D49</f>
        <v>1517</v>
      </c>
      <c r="E103" s="683">
        <f>D52</f>
        <v>1240</v>
      </c>
      <c r="F103" s="684">
        <f>D55</f>
        <v>600</v>
      </c>
      <c r="G103" s="683">
        <f>D58</f>
        <v>350</v>
      </c>
      <c r="H103" s="685"/>
    </row>
    <row r="104" spans="2:8">
      <c r="B104" s="449" t="s">
        <v>872</v>
      </c>
      <c r="C104" s="682"/>
      <c r="D104" s="683">
        <f>E49</f>
        <v>1231</v>
      </c>
      <c r="E104" s="683">
        <f>E52</f>
        <v>2000</v>
      </c>
      <c r="F104" s="684">
        <f>E55</f>
        <v>840</v>
      </c>
      <c r="G104" s="683">
        <f>E58</f>
        <v>1490</v>
      </c>
      <c r="H104" s="685"/>
    </row>
    <row r="105" spans="2:8">
      <c r="B105" s="449" t="s">
        <v>845</v>
      </c>
      <c r="C105" s="682"/>
      <c r="D105" s="683">
        <f>F49</f>
        <v>769</v>
      </c>
      <c r="E105" s="683">
        <f>F52</f>
        <v>769</v>
      </c>
      <c r="F105" s="684">
        <f>F55</f>
        <v>769</v>
      </c>
      <c r="G105" s="683">
        <f>F58</f>
        <v>769</v>
      </c>
      <c r="H105" s="685"/>
    </row>
    <row r="106" spans="2:8">
      <c r="B106" s="449" t="s">
        <v>162</v>
      </c>
      <c r="C106" s="682"/>
      <c r="D106" s="683">
        <f>G49</f>
        <v>121</v>
      </c>
      <c r="E106" s="683">
        <f>G52</f>
        <v>121</v>
      </c>
      <c r="F106" s="684">
        <f>G55</f>
        <v>121</v>
      </c>
      <c r="G106" s="683">
        <f>G58</f>
        <v>121</v>
      </c>
      <c r="H106" s="685"/>
    </row>
    <row r="107" spans="2:8">
      <c r="B107" s="492" t="s">
        <v>846</v>
      </c>
      <c r="C107" s="682"/>
      <c r="D107" s="683">
        <f>H49</f>
        <v>272</v>
      </c>
      <c r="E107" s="683">
        <f>H52</f>
        <v>272</v>
      </c>
      <c r="F107" s="684">
        <f>H55</f>
        <v>272</v>
      </c>
      <c r="G107" s="683">
        <f>H58</f>
        <v>272</v>
      </c>
      <c r="H107" s="685"/>
    </row>
    <row r="108" spans="2:8">
      <c r="B108" s="492" t="s">
        <v>847</v>
      </c>
      <c r="C108" s="682"/>
      <c r="D108" s="683">
        <f>I49</f>
        <v>140</v>
      </c>
      <c r="E108" s="684">
        <f>I52</f>
        <v>326</v>
      </c>
      <c r="F108" s="684">
        <f>I55</f>
        <v>1040</v>
      </c>
      <c r="G108" s="684">
        <f>I58</f>
        <v>441</v>
      </c>
      <c r="H108" s="685"/>
    </row>
    <row r="109" spans="2:8">
      <c r="B109" s="492" t="s">
        <v>848</v>
      </c>
      <c r="C109" s="682"/>
      <c r="D109" s="683">
        <f>J49</f>
        <v>4.34</v>
      </c>
      <c r="E109" s="684">
        <f>J52</f>
        <v>66</v>
      </c>
      <c r="F109" s="684">
        <f>J55</f>
        <v>176</v>
      </c>
      <c r="G109" s="683">
        <f>J58</f>
        <v>375</v>
      </c>
      <c r="H109" s="685"/>
    </row>
    <row r="110" spans="2:8">
      <c r="B110" s="492" t="s">
        <v>106</v>
      </c>
      <c r="C110" s="682"/>
      <c r="D110" s="50">
        <f>K49</f>
        <v>4054</v>
      </c>
      <c r="E110" s="684">
        <f>K52</f>
        <v>4794</v>
      </c>
      <c r="F110" s="684">
        <f>K55</f>
        <v>3818</v>
      </c>
      <c r="G110" s="683">
        <f>K58</f>
        <v>3818</v>
      </c>
      <c r="H110" s="685"/>
    </row>
    <row r="132" spans="2:5">
      <c r="E132" s="681"/>
    </row>
    <row r="133" spans="2:5">
      <c r="E133" s="681"/>
    </row>
    <row r="135" spans="2:5" ht="12">
      <c r="B135" s="1" t="s">
        <v>916</v>
      </c>
    </row>
    <row r="161" spans="2:8">
      <c r="B161" s="32" t="s">
        <v>913</v>
      </c>
      <c r="E161" s="50">
        <f>Electricity!G113</f>
        <v>380.01657099601886</v>
      </c>
    </row>
    <row r="162" spans="2:8">
      <c r="B162" s="32" t="s">
        <v>912</v>
      </c>
      <c r="E162" s="50">
        <f>Electricity!G112</f>
        <v>245.04261274596723</v>
      </c>
    </row>
    <row r="163" spans="2:8">
      <c r="B163" s="32" t="s">
        <v>914</v>
      </c>
      <c r="E163" s="50">
        <f>Electricity!G99</f>
        <v>1423.8158913677539</v>
      </c>
      <c r="H163" s="32" t="s">
        <v>914</v>
      </c>
    </row>
    <row r="165" spans="2:8">
      <c r="H165" s="32" t="s">
        <v>913</v>
      </c>
    </row>
    <row r="166" spans="2:8">
      <c r="B166" s="32"/>
    </row>
    <row r="167" spans="2:8" ht="12">
      <c r="B167" s="844" t="s">
        <v>915</v>
      </c>
      <c r="C167" s="844"/>
      <c r="D167" s="844"/>
      <c r="E167" s="844"/>
    </row>
    <row r="168" spans="2:8">
      <c r="C168" s="12" t="s">
        <v>906</v>
      </c>
      <c r="D168" s="12" t="s">
        <v>907</v>
      </c>
      <c r="E168" s="12" t="s">
        <v>908</v>
      </c>
    </row>
    <row r="169" spans="2:8">
      <c r="B169" s="32" t="s">
        <v>903</v>
      </c>
      <c r="C169" s="15">
        <f>Electricity!K153</f>
        <v>1.5029121087237529E-2</v>
      </c>
      <c r="D169" s="15">
        <f>Electricity!K154</f>
        <v>-5.7794975466649579E-3</v>
      </c>
      <c r="E169" s="15">
        <f>D169-C169</f>
        <v>-2.0808618633902487E-2</v>
      </c>
    </row>
    <row r="170" spans="2:8">
      <c r="B170" s="32" t="s">
        <v>176</v>
      </c>
      <c r="C170" s="15">
        <f>Electricity!J172</f>
        <v>1.4575981940396776E-2</v>
      </c>
      <c r="D170" s="15">
        <f>Electricity!J173</f>
        <v>4.378724942301826E-2</v>
      </c>
      <c r="E170" s="15">
        <f>D170-C170</f>
        <v>2.9211267482621484E-2</v>
      </c>
    </row>
    <row r="171" spans="2:8">
      <c r="B171" s="32" t="s">
        <v>904</v>
      </c>
      <c r="C171" s="15">
        <f>Electricity!K172</f>
        <v>-2.8805180560959043E-3</v>
      </c>
      <c r="D171" s="15">
        <f>Electricity!K173</f>
        <v>2.5828148832992115E-2</v>
      </c>
      <c r="E171" s="15">
        <f>D171-C171</f>
        <v>2.8708666889088019E-2</v>
      </c>
    </row>
    <row r="172" spans="2:8">
      <c r="B172" s="32" t="s">
        <v>909</v>
      </c>
      <c r="C172" s="15">
        <f>Electricity!J179</f>
        <v>2.9824167225181997E-2</v>
      </c>
      <c r="D172" s="15">
        <f>Electricity!J181</f>
        <v>3.7754683575737857E-2</v>
      </c>
      <c r="E172" s="15">
        <f>D172-C172</f>
        <v>7.9305163505558607E-3</v>
      </c>
    </row>
    <row r="173" spans="2:8">
      <c r="B173" s="32" t="s">
        <v>905</v>
      </c>
      <c r="C173" s="15">
        <f>Electricity!K179</f>
        <v>1.210531137648263E-2</v>
      </c>
      <c r="D173" s="15">
        <f>Electricity!K181</f>
        <v>1.98993775635119E-2</v>
      </c>
      <c r="E173" s="15">
        <f>D173-C173</f>
        <v>7.7940661870292693E-3</v>
      </c>
    </row>
    <row r="176" spans="2:8" ht="12">
      <c r="B176" s="1" t="s">
        <v>899</v>
      </c>
    </row>
    <row r="178" spans="2:7">
      <c r="D178" s="12"/>
      <c r="E178" s="12" t="s">
        <v>906</v>
      </c>
      <c r="F178" s="12" t="s">
        <v>917</v>
      </c>
      <c r="G178" s="12" t="s">
        <v>918</v>
      </c>
    </row>
    <row r="179" spans="2:7">
      <c r="B179" s="449" t="s">
        <v>48</v>
      </c>
      <c r="C179" s="682"/>
      <c r="D179" s="683"/>
      <c r="E179" s="683">
        <f t="shared" ref="E179:G186" si="5">E103</f>
        <v>1240</v>
      </c>
      <c r="F179" s="683">
        <f t="shared" si="5"/>
        <v>600</v>
      </c>
      <c r="G179" s="683">
        <f t="shared" si="5"/>
        <v>350</v>
      </c>
    </row>
    <row r="180" spans="2:7">
      <c r="B180" s="449" t="s">
        <v>872</v>
      </c>
      <c r="C180" s="682"/>
      <c r="D180" s="683"/>
      <c r="E180" s="683">
        <f t="shared" si="5"/>
        <v>2000</v>
      </c>
      <c r="F180" s="683">
        <f t="shared" si="5"/>
        <v>840</v>
      </c>
      <c r="G180" s="683">
        <f t="shared" si="5"/>
        <v>1490</v>
      </c>
    </row>
    <row r="181" spans="2:7">
      <c r="B181" s="449" t="s">
        <v>845</v>
      </c>
      <c r="C181" s="682"/>
      <c r="D181" s="683"/>
      <c r="E181" s="683">
        <f t="shared" si="5"/>
        <v>769</v>
      </c>
      <c r="F181" s="683">
        <f t="shared" si="5"/>
        <v>769</v>
      </c>
      <c r="G181" s="683">
        <f t="shared" si="5"/>
        <v>769</v>
      </c>
    </row>
    <row r="182" spans="2:7">
      <c r="B182" s="449" t="s">
        <v>162</v>
      </c>
      <c r="C182" s="682"/>
      <c r="D182" s="683"/>
      <c r="E182" s="683">
        <f t="shared" si="5"/>
        <v>121</v>
      </c>
      <c r="F182" s="683">
        <f t="shared" si="5"/>
        <v>121</v>
      </c>
      <c r="G182" s="683">
        <f t="shared" si="5"/>
        <v>121</v>
      </c>
    </row>
    <row r="183" spans="2:7">
      <c r="B183" s="492" t="s">
        <v>846</v>
      </c>
      <c r="C183" s="682"/>
      <c r="D183" s="683"/>
      <c r="E183" s="683">
        <f t="shared" si="5"/>
        <v>272</v>
      </c>
      <c r="F183" s="683">
        <f t="shared" si="5"/>
        <v>272</v>
      </c>
      <c r="G183" s="683">
        <f t="shared" si="5"/>
        <v>272</v>
      </c>
    </row>
    <row r="184" spans="2:7">
      <c r="B184" s="492" t="s">
        <v>847</v>
      </c>
      <c r="C184" s="682"/>
      <c r="D184" s="683"/>
      <c r="E184" s="683">
        <f t="shared" si="5"/>
        <v>326</v>
      </c>
      <c r="F184" s="683">
        <f t="shared" si="5"/>
        <v>1040</v>
      </c>
      <c r="G184" s="683">
        <f t="shared" si="5"/>
        <v>441</v>
      </c>
    </row>
    <row r="185" spans="2:7">
      <c r="B185" s="492" t="s">
        <v>848</v>
      </c>
      <c r="C185" s="682"/>
      <c r="D185" s="683"/>
      <c r="E185" s="683">
        <f t="shared" si="5"/>
        <v>66</v>
      </c>
      <c r="F185" s="683">
        <f t="shared" si="5"/>
        <v>176</v>
      </c>
      <c r="G185" s="683">
        <f t="shared" si="5"/>
        <v>375</v>
      </c>
    </row>
    <row r="186" spans="2:7">
      <c r="B186" s="492" t="s">
        <v>106</v>
      </c>
      <c r="C186" s="682"/>
      <c r="D186" s="683"/>
      <c r="E186" s="683">
        <f t="shared" si="5"/>
        <v>4794</v>
      </c>
      <c r="F186" s="683">
        <f t="shared" si="5"/>
        <v>3818</v>
      </c>
      <c r="G186" s="683">
        <f t="shared" si="5"/>
        <v>3818</v>
      </c>
    </row>
    <row r="209" spans="3:5">
      <c r="E209" s="681"/>
    </row>
    <row r="216" spans="3:5">
      <c r="C216" s="8"/>
    </row>
  </sheetData>
  <mergeCells count="1">
    <mergeCell ref="B167:E167"/>
  </mergeCells>
  <pageMargins left="0.7" right="0.7" top="0.75" bottom="0.75" header="0.3" footer="0.3"/>
  <pageSetup orientation="portrait" verticalDpi="0"/>
  <drawing r:id="rId1"/>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48"/>
  <sheetViews>
    <sheetView workbookViewId="0"/>
  </sheetViews>
  <sheetFormatPr baseColWidth="10" defaultColWidth="10.6640625" defaultRowHeight="14" customHeight="1" x14ac:dyDescent="0"/>
  <cols>
    <col min="1" max="1" width="2.6640625" customWidth="1"/>
  </cols>
  <sheetData>
    <row r="1" spans="2:32" ht="14" customHeight="1">
      <c r="B1" s="59" t="s">
        <v>939</v>
      </c>
      <c r="F1" s="32" t="s">
        <v>330</v>
      </c>
      <c r="K1" s="237">
        <f>Summary!F3</f>
        <v>41674</v>
      </c>
    </row>
    <row r="8" spans="2:32" ht="14" customHeight="1">
      <c r="B8" s="8" t="s">
        <v>31</v>
      </c>
    </row>
    <row r="10" spans="2:32" ht="14" customHeight="1">
      <c r="B10" s="32" t="s">
        <v>297</v>
      </c>
    </row>
    <row r="12" spans="2:32" ht="14" customHeight="1">
      <c r="B12" t="s">
        <v>28</v>
      </c>
      <c r="I12" s="12">
        <f>Summary!Q116</f>
        <v>2015</v>
      </c>
      <c r="J12" s="12">
        <f>Summary!R116</f>
        <v>2016</v>
      </c>
      <c r="K12" s="12">
        <f>Summary!S116</f>
        <v>2017</v>
      </c>
      <c r="L12" s="12">
        <f>Summary!T116</f>
        <v>2018</v>
      </c>
      <c r="M12" s="12">
        <f>Summary!U116</f>
        <v>2019</v>
      </c>
      <c r="N12" s="12">
        <f>Summary!V116</f>
        <v>2020</v>
      </c>
      <c r="O12" s="12">
        <f>Summary!W116</f>
        <v>2021</v>
      </c>
      <c r="P12" s="12">
        <f>Summary!X116</f>
        <v>2022</v>
      </c>
      <c r="Q12" s="12">
        <f>Summary!Y116</f>
        <v>2023</v>
      </c>
      <c r="R12" s="12">
        <f>Summary!Z116</f>
        <v>2024</v>
      </c>
      <c r="S12" s="12">
        <f>Summary!AA116</f>
        <v>2025</v>
      </c>
      <c r="T12" s="12">
        <f>Summary!AB116</f>
        <v>2026</v>
      </c>
      <c r="U12" s="12">
        <f>Summary!AC116</f>
        <v>2027</v>
      </c>
      <c r="V12" s="12">
        <f>Summary!AD116</f>
        <v>2028</v>
      </c>
      <c r="W12" s="12">
        <f>Summary!AE116</f>
        <v>2029</v>
      </c>
      <c r="X12" s="12">
        <f>Summary!AF116</f>
        <v>2030</v>
      </c>
      <c r="Y12" s="12">
        <f>Summary!AG116</f>
        <v>2031</v>
      </c>
      <c r="Z12" s="12">
        <f>Summary!AH116</f>
        <v>2032</v>
      </c>
      <c r="AA12" s="12">
        <f>Summary!AI116</f>
        <v>2033</v>
      </c>
      <c r="AB12" s="12">
        <f>Summary!AJ116</f>
        <v>2034</v>
      </c>
      <c r="AC12" s="12">
        <f>Summary!AK116</f>
        <v>2035</v>
      </c>
      <c r="AD12" s="12">
        <f>Summary!AL116</f>
        <v>2036</v>
      </c>
      <c r="AE12" s="12">
        <f>Summary!AM116</f>
        <v>2037</v>
      </c>
    </row>
    <row r="13" spans="2:32" ht="14" customHeight="1">
      <c r="B13" t="s">
        <v>29</v>
      </c>
      <c r="I13" s="541">
        <f>Summary!Q200</f>
        <v>362.47957012662982</v>
      </c>
      <c r="J13" s="541">
        <f>Summary!R200</f>
        <v>371.00808741064981</v>
      </c>
      <c r="K13" s="541">
        <f>Summary!S200</f>
        <v>379.96176197504525</v>
      </c>
      <c r="L13" s="541">
        <f>Summary!T200</f>
        <v>389.04102238975304</v>
      </c>
      <c r="M13" s="541">
        <f>Summary!U200</f>
        <v>398.34630442333577</v>
      </c>
      <c r="N13" s="541">
        <f>Summary!V200</f>
        <v>407.57805116395417</v>
      </c>
      <c r="O13" s="541">
        <f>Summary!W200</f>
        <v>417.23671314237151</v>
      </c>
      <c r="P13" s="541">
        <f>Summary!X200</f>
        <v>427.12274845702592</v>
      </c>
      <c r="Q13" s="541">
        <f>Summary!Y200</f>
        <v>437.23662290120302</v>
      </c>
      <c r="R13" s="541">
        <f>Summary!Z200</f>
        <v>447.67881009234492</v>
      </c>
      <c r="S13" s="541">
        <f>Summary!AA200</f>
        <v>457.64979160353255</v>
      </c>
      <c r="T13" s="541">
        <f>Summary!AB200</f>
        <v>467.29018354724866</v>
      </c>
      <c r="U13" s="541">
        <f>Summary!AC200</f>
        <v>477.13967704039993</v>
      </c>
      <c r="V13" s="541">
        <f>Summary!AD200</f>
        <v>487.09833606120321</v>
      </c>
      <c r="W13" s="541">
        <f>Summary!AE200</f>
        <v>497.26622619837502</v>
      </c>
      <c r="X13" s="541">
        <f>Summary!AF200</f>
        <v>507.64341465575785</v>
      </c>
      <c r="Y13" s="541">
        <f>Summary!AG200</f>
        <v>518.12997025626726</v>
      </c>
      <c r="Z13" s="541">
        <f>Summary!AH200</f>
        <v>529.02596344519407</v>
      </c>
      <c r="AA13" s="541">
        <f>Summary!AI200</f>
        <v>539.9314662928989</v>
      </c>
      <c r="AB13" s="541">
        <f>Summary!AJ200</f>
        <v>551.34655249693458</v>
      </c>
      <c r="AC13" s="541">
        <f>Summary!AK200</f>
        <v>562.97129738363321</v>
      </c>
      <c r="AD13" s="541">
        <f>Summary!AL200</f>
        <v>574.19104543443405</v>
      </c>
      <c r="AE13" s="541">
        <f>Summary!AM200</f>
        <v>585.90930217458276</v>
      </c>
    </row>
    <row r="14" spans="2:32" ht="14" customHeight="1">
      <c r="B14" s="3" t="s">
        <v>30</v>
      </c>
      <c r="I14" s="542"/>
      <c r="J14" s="542"/>
      <c r="K14" s="542"/>
      <c r="L14" s="542"/>
      <c r="M14" s="542"/>
      <c r="N14" s="542"/>
      <c r="O14" s="542"/>
      <c r="P14" s="542"/>
      <c r="Q14" s="542"/>
      <c r="R14" s="542"/>
      <c r="S14" s="542"/>
      <c r="T14" s="542"/>
      <c r="U14" s="542"/>
      <c r="V14" s="542"/>
      <c r="W14" s="542"/>
      <c r="X14" s="542"/>
      <c r="Y14" s="542"/>
      <c r="Z14" s="542"/>
      <c r="AA14" s="542"/>
      <c r="AB14" s="542"/>
      <c r="AC14" s="542"/>
      <c r="AD14" s="542"/>
      <c r="AE14" s="542"/>
    </row>
    <row r="15" spans="2:32" ht="14" customHeight="1">
      <c r="I15" s="542"/>
      <c r="J15" s="542"/>
      <c r="K15" s="542"/>
      <c r="L15" s="542"/>
      <c r="M15" s="542"/>
      <c r="N15" s="542"/>
      <c r="O15" s="542"/>
      <c r="P15" s="542"/>
      <c r="Q15" s="542"/>
      <c r="R15" s="542"/>
      <c r="S15" s="542"/>
      <c r="T15" s="542"/>
      <c r="U15" s="542"/>
      <c r="V15" s="542"/>
      <c r="W15" s="542"/>
      <c r="X15" s="542"/>
      <c r="Y15" s="542"/>
      <c r="Z15" s="542"/>
      <c r="AA15" s="542"/>
      <c r="AB15" s="542"/>
      <c r="AC15" s="542"/>
      <c r="AD15" s="542"/>
      <c r="AE15" s="542"/>
    </row>
    <row r="16" spans="2:32" ht="14" customHeight="1">
      <c r="B16" t="s">
        <v>41</v>
      </c>
      <c r="I16" s="542">
        <f>I13+H16</f>
        <v>362.47957012662982</v>
      </c>
      <c r="J16" s="542">
        <f t="shared" ref="J16:AE16" si="0">J13+I16</f>
        <v>733.48765753727957</v>
      </c>
      <c r="K16" s="542">
        <f t="shared" si="0"/>
        <v>1113.4494195123248</v>
      </c>
      <c r="L16" s="542">
        <f t="shared" si="0"/>
        <v>1502.4904419020777</v>
      </c>
      <c r="M16" s="542">
        <f t="shared" si="0"/>
        <v>1900.8367463254135</v>
      </c>
      <c r="N16" s="542">
        <f t="shared" si="0"/>
        <v>2308.4147974893676</v>
      </c>
      <c r="O16" s="542">
        <f t="shared" si="0"/>
        <v>2725.6515106317393</v>
      </c>
      <c r="P16" s="542">
        <f t="shared" si="0"/>
        <v>3152.7742590887651</v>
      </c>
      <c r="Q16" s="542">
        <f t="shared" si="0"/>
        <v>3590.0108819899683</v>
      </c>
      <c r="R16" s="542">
        <f t="shared" si="0"/>
        <v>4037.6896920823133</v>
      </c>
      <c r="S16" s="542">
        <f t="shared" si="0"/>
        <v>4495.3394836858461</v>
      </c>
      <c r="T16" s="542">
        <f t="shared" si="0"/>
        <v>4962.6296672330946</v>
      </c>
      <c r="U16" s="542">
        <f t="shared" si="0"/>
        <v>5439.7693442734944</v>
      </c>
      <c r="V16" s="542">
        <f t="shared" si="0"/>
        <v>5926.867680334698</v>
      </c>
      <c r="W16" s="542">
        <f t="shared" si="0"/>
        <v>6424.1339065330731</v>
      </c>
      <c r="X16" s="542">
        <f t="shared" si="0"/>
        <v>6931.7773211888307</v>
      </c>
      <c r="Y16" s="542">
        <f t="shared" si="0"/>
        <v>7449.9072914450981</v>
      </c>
      <c r="Z16" s="542">
        <f t="shared" si="0"/>
        <v>7978.9332548902921</v>
      </c>
      <c r="AA16" s="542">
        <f t="shared" si="0"/>
        <v>8518.8647211831903</v>
      </c>
      <c r="AB16" s="542">
        <f t="shared" si="0"/>
        <v>9070.2112736801246</v>
      </c>
      <c r="AC16" s="542">
        <f t="shared" si="0"/>
        <v>9633.1825710637586</v>
      </c>
      <c r="AD16" s="542">
        <f t="shared" si="0"/>
        <v>10207.373616498193</v>
      </c>
      <c r="AE16" s="542">
        <f t="shared" si="0"/>
        <v>10793.282918672776</v>
      </c>
      <c r="AF16" s="92"/>
    </row>
    <row r="17" spans="2:31" ht="14" customHeight="1">
      <c r="I17" s="542"/>
      <c r="J17" s="542"/>
      <c r="K17" s="542"/>
      <c r="L17" s="542"/>
      <c r="M17" s="542"/>
      <c r="N17" s="542"/>
      <c r="O17" s="542"/>
      <c r="P17" s="542"/>
      <c r="Q17" s="542"/>
      <c r="R17" s="542"/>
      <c r="S17" s="542"/>
      <c r="T17" s="542"/>
      <c r="U17" s="542"/>
      <c r="V17" s="542"/>
      <c r="W17" s="542"/>
      <c r="X17" s="542"/>
      <c r="Y17" s="542"/>
      <c r="Z17" s="542"/>
      <c r="AA17" s="542"/>
      <c r="AB17" s="542"/>
      <c r="AC17" s="542"/>
      <c r="AD17" s="542"/>
      <c r="AE17" s="542"/>
    </row>
    <row r="18" spans="2:31" ht="14" customHeight="1">
      <c r="B18" t="s">
        <v>43</v>
      </c>
      <c r="I18" s="541">
        <f>MIN(I13/6,10)</f>
        <v>10</v>
      </c>
      <c r="J18" s="541">
        <f t="shared" ref="J18:AE18" si="1">MIN(J13/6,10)</f>
        <v>10</v>
      </c>
      <c r="K18" s="541">
        <f t="shared" si="1"/>
        <v>10</v>
      </c>
      <c r="L18" s="541">
        <f t="shared" si="1"/>
        <v>10</v>
      </c>
      <c r="M18" s="541">
        <f t="shared" si="1"/>
        <v>10</v>
      </c>
      <c r="N18" s="541">
        <f t="shared" si="1"/>
        <v>10</v>
      </c>
      <c r="O18" s="541">
        <f t="shared" si="1"/>
        <v>10</v>
      </c>
      <c r="P18" s="541">
        <f t="shared" si="1"/>
        <v>10</v>
      </c>
      <c r="Q18" s="541">
        <f t="shared" si="1"/>
        <v>10</v>
      </c>
      <c r="R18" s="541">
        <f t="shared" si="1"/>
        <v>10</v>
      </c>
      <c r="S18" s="541">
        <f t="shared" si="1"/>
        <v>10</v>
      </c>
      <c r="T18" s="541">
        <f t="shared" si="1"/>
        <v>10</v>
      </c>
      <c r="U18" s="541">
        <f t="shared" si="1"/>
        <v>10</v>
      </c>
      <c r="V18" s="541">
        <f t="shared" si="1"/>
        <v>10</v>
      </c>
      <c r="W18" s="541">
        <f t="shared" si="1"/>
        <v>10</v>
      </c>
      <c r="X18" s="541">
        <f t="shared" si="1"/>
        <v>10</v>
      </c>
      <c r="Y18" s="541">
        <f t="shared" si="1"/>
        <v>10</v>
      </c>
      <c r="Z18" s="541">
        <f t="shared" si="1"/>
        <v>10</v>
      </c>
      <c r="AA18" s="541">
        <f t="shared" si="1"/>
        <v>10</v>
      </c>
      <c r="AB18" s="541">
        <f t="shared" si="1"/>
        <v>10</v>
      </c>
      <c r="AC18" s="541">
        <f t="shared" si="1"/>
        <v>10</v>
      </c>
      <c r="AD18" s="541">
        <f t="shared" si="1"/>
        <v>10</v>
      </c>
      <c r="AE18" s="541">
        <f t="shared" si="1"/>
        <v>10</v>
      </c>
    </row>
    <row r="19" spans="2:31" ht="14" customHeight="1">
      <c r="B19" s="91" t="s">
        <v>32</v>
      </c>
      <c r="I19" s="542"/>
      <c r="J19" s="542"/>
      <c r="K19" s="542"/>
      <c r="L19" s="542"/>
      <c r="M19" s="542"/>
      <c r="N19" s="542"/>
      <c r="O19" s="542"/>
      <c r="P19" s="542"/>
      <c r="Q19" s="542"/>
      <c r="R19" s="542"/>
      <c r="S19" s="542"/>
      <c r="T19" s="542"/>
      <c r="U19" s="542"/>
      <c r="V19" s="542"/>
      <c r="W19" s="542"/>
      <c r="X19" s="542"/>
      <c r="Y19" s="542"/>
      <c r="Z19" s="542"/>
      <c r="AA19" s="542"/>
      <c r="AB19" s="542"/>
      <c r="AC19" s="542"/>
      <c r="AD19" s="542"/>
      <c r="AE19" s="542"/>
    </row>
    <row r="20" spans="2:31" ht="14" customHeight="1">
      <c r="B20" s="10" t="s">
        <v>46</v>
      </c>
      <c r="I20" s="542">
        <f>I18+H20</f>
        <v>10</v>
      </c>
      <c r="J20" s="542">
        <f t="shared" ref="J20:AE20" si="2">J18+I20</f>
        <v>20</v>
      </c>
      <c r="K20" s="542">
        <f t="shared" si="2"/>
        <v>30</v>
      </c>
      <c r="L20" s="542">
        <f t="shared" si="2"/>
        <v>40</v>
      </c>
      <c r="M20" s="542">
        <f t="shared" si="2"/>
        <v>50</v>
      </c>
      <c r="N20" s="542">
        <f t="shared" si="2"/>
        <v>60</v>
      </c>
      <c r="O20" s="542">
        <f t="shared" si="2"/>
        <v>70</v>
      </c>
      <c r="P20" s="542">
        <f t="shared" si="2"/>
        <v>80</v>
      </c>
      <c r="Q20" s="542">
        <f t="shared" si="2"/>
        <v>90</v>
      </c>
      <c r="R20" s="542">
        <f t="shared" si="2"/>
        <v>100</v>
      </c>
      <c r="S20" s="542">
        <f t="shared" si="2"/>
        <v>110</v>
      </c>
      <c r="T20" s="542">
        <f t="shared" si="2"/>
        <v>120</v>
      </c>
      <c r="U20" s="542">
        <f t="shared" si="2"/>
        <v>130</v>
      </c>
      <c r="V20" s="542">
        <f t="shared" si="2"/>
        <v>140</v>
      </c>
      <c r="W20" s="542">
        <f t="shared" si="2"/>
        <v>150</v>
      </c>
      <c r="X20" s="542">
        <f t="shared" si="2"/>
        <v>160</v>
      </c>
      <c r="Y20" s="542">
        <f t="shared" si="2"/>
        <v>170</v>
      </c>
      <c r="Z20" s="542">
        <f t="shared" si="2"/>
        <v>180</v>
      </c>
      <c r="AA20" s="542">
        <f t="shared" si="2"/>
        <v>190</v>
      </c>
      <c r="AB20" s="542">
        <f t="shared" si="2"/>
        <v>200</v>
      </c>
      <c r="AC20" s="542">
        <f t="shared" si="2"/>
        <v>210</v>
      </c>
      <c r="AD20" s="542">
        <f t="shared" si="2"/>
        <v>220</v>
      </c>
      <c r="AE20" s="542">
        <f t="shared" si="2"/>
        <v>230</v>
      </c>
    </row>
    <row r="21" spans="2:31" ht="14" customHeight="1">
      <c r="B21" s="91"/>
      <c r="I21" s="542"/>
      <c r="J21" s="542"/>
      <c r="K21" s="542"/>
      <c r="L21" s="542"/>
      <c r="M21" s="542"/>
      <c r="N21" s="542"/>
      <c r="O21" s="542"/>
      <c r="P21" s="542"/>
      <c r="Q21" s="542"/>
      <c r="R21" s="542"/>
      <c r="S21" s="542"/>
      <c r="T21" s="542"/>
      <c r="U21" s="542"/>
      <c r="V21" s="542"/>
      <c r="W21" s="542"/>
      <c r="X21" s="542"/>
      <c r="Y21" s="542"/>
      <c r="Z21" s="542"/>
      <c r="AA21" s="542"/>
      <c r="AB21" s="542"/>
      <c r="AC21" s="542"/>
      <c r="AD21" s="542"/>
      <c r="AE21" s="542"/>
    </row>
    <row r="22" spans="2:31" ht="14" customHeight="1">
      <c r="B22" t="s">
        <v>33</v>
      </c>
      <c r="I22" s="542"/>
      <c r="J22" s="542"/>
      <c r="K22" s="542"/>
      <c r="L22" s="542"/>
      <c r="M22" s="542"/>
      <c r="N22" s="542"/>
      <c r="O22" s="542"/>
      <c r="P22" s="542"/>
      <c r="Q22" s="542"/>
      <c r="R22" s="542"/>
      <c r="S22" s="542"/>
      <c r="T22" s="542"/>
      <c r="U22" s="542"/>
      <c r="V22" s="542"/>
      <c r="W22" s="542"/>
      <c r="X22" s="542"/>
      <c r="Y22" s="542"/>
      <c r="Z22" s="542"/>
      <c r="AA22" s="542"/>
      <c r="AB22" s="542"/>
      <c r="AC22" s="542"/>
      <c r="AD22" s="542"/>
      <c r="AE22" s="542"/>
    </row>
    <row r="23" spans="2:31" ht="14" customHeight="1">
      <c r="B23" s="10" t="s">
        <v>35</v>
      </c>
      <c r="C23" s="10"/>
      <c r="D23" s="10"/>
      <c r="E23" s="10"/>
      <c r="F23" s="10"/>
      <c r="G23" s="46">
        <f>1/12</f>
        <v>8.3333333333333329E-2</v>
      </c>
      <c r="H23" s="46"/>
      <c r="I23" s="542"/>
      <c r="J23" s="542"/>
      <c r="K23" s="542"/>
      <c r="L23" s="542"/>
      <c r="M23" s="542"/>
      <c r="N23" s="542"/>
      <c r="O23" s="542"/>
      <c r="P23" s="542"/>
      <c r="Q23" s="542"/>
      <c r="R23" s="542"/>
      <c r="S23" s="542"/>
      <c r="T23" s="542"/>
      <c r="U23" s="542"/>
      <c r="V23" s="542"/>
      <c r="W23" s="542"/>
      <c r="X23" s="542"/>
      <c r="Y23" s="542"/>
      <c r="Z23" s="542"/>
      <c r="AA23" s="542"/>
      <c r="AB23" s="542"/>
      <c r="AC23" s="542"/>
      <c r="AD23" s="542"/>
      <c r="AE23" s="542"/>
    </row>
    <row r="24" spans="2:31" ht="14" customHeight="1">
      <c r="B24" s="947" t="s">
        <v>34</v>
      </c>
      <c r="C24" s="947"/>
      <c r="D24" s="947"/>
      <c r="E24" s="947"/>
      <c r="F24" s="947"/>
      <c r="I24" s="542"/>
      <c r="J24" s="542"/>
      <c r="K24" s="542"/>
      <c r="L24" s="542"/>
      <c r="M24" s="542"/>
      <c r="N24" s="542"/>
      <c r="O24" s="542"/>
      <c r="P24" s="542"/>
      <c r="Q24" s="542"/>
      <c r="R24" s="542"/>
      <c r="S24" s="542"/>
      <c r="T24" s="542"/>
      <c r="U24" s="542"/>
      <c r="V24" s="542"/>
      <c r="W24" s="542"/>
      <c r="X24" s="542"/>
      <c r="Y24" s="542"/>
      <c r="Z24" s="542"/>
      <c r="AA24" s="542"/>
      <c r="AB24" s="542"/>
      <c r="AC24" s="542"/>
      <c r="AD24" s="542"/>
      <c r="AE24" s="542"/>
    </row>
    <row r="25" spans="2:31" ht="14" customHeight="1">
      <c r="B25" s="947"/>
      <c r="C25" s="947"/>
      <c r="D25" s="947"/>
      <c r="E25" s="947"/>
      <c r="F25" s="947"/>
      <c r="G25" s="4">
        <f>1/10</f>
        <v>0.1</v>
      </c>
      <c r="H25" s="4"/>
      <c r="I25" s="542"/>
      <c r="J25" s="542"/>
      <c r="K25" s="542"/>
      <c r="L25" s="542"/>
      <c r="M25" s="542"/>
      <c r="N25" s="542"/>
      <c r="O25" s="542"/>
      <c r="P25" s="542"/>
      <c r="Q25" s="542"/>
      <c r="R25" s="542"/>
      <c r="S25" s="542"/>
      <c r="T25" s="542"/>
      <c r="U25" s="542"/>
      <c r="V25" s="542"/>
      <c r="W25" s="542"/>
      <c r="X25" s="542"/>
      <c r="Y25" s="542"/>
      <c r="Z25" s="542"/>
      <c r="AA25" s="542"/>
      <c r="AB25" s="542"/>
      <c r="AC25" s="542"/>
      <c r="AD25" s="542"/>
      <c r="AE25" s="542"/>
    </row>
    <row r="26" spans="2:31" ht="14" customHeight="1">
      <c r="B26" s="90" t="s">
        <v>36</v>
      </c>
      <c r="I26" s="542"/>
      <c r="J26" s="542"/>
      <c r="K26" s="542"/>
      <c r="L26" s="542"/>
      <c r="M26" s="542"/>
      <c r="N26" s="542"/>
      <c r="O26" s="542"/>
      <c r="P26" s="542"/>
      <c r="Q26" s="542"/>
      <c r="R26" s="542"/>
      <c r="S26" s="542"/>
      <c r="T26" s="542"/>
      <c r="U26" s="542"/>
      <c r="V26" s="542"/>
      <c r="W26" s="542"/>
      <c r="X26" s="542"/>
      <c r="Y26" s="542"/>
      <c r="Z26" s="542"/>
      <c r="AA26" s="542"/>
      <c r="AB26" s="542"/>
      <c r="AC26" s="542"/>
      <c r="AD26" s="542"/>
      <c r="AE26" s="542"/>
    </row>
    <row r="27" spans="2:31" ht="14" customHeight="1">
      <c r="B27" t="s">
        <v>47</v>
      </c>
      <c r="I27" s="541">
        <f>I13*G23</f>
        <v>30.206630843885819</v>
      </c>
      <c r="J27" s="541">
        <f t="shared" ref="J27:S27" si="3">$I27*(1-(J12-$I$12)*$G25)</f>
        <v>27.185967759497238</v>
      </c>
      <c r="K27" s="541">
        <f t="shared" si="3"/>
        <v>24.165304675108658</v>
      </c>
      <c r="L27" s="541">
        <f t="shared" si="3"/>
        <v>21.14464159072007</v>
      </c>
      <c r="M27" s="541">
        <f t="shared" si="3"/>
        <v>18.12397850633149</v>
      </c>
      <c r="N27" s="541">
        <f t="shared" si="3"/>
        <v>15.103315421942909</v>
      </c>
      <c r="O27" s="541">
        <f t="shared" si="3"/>
        <v>12.082652337554325</v>
      </c>
      <c r="P27" s="541">
        <f t="shared" si="3"/>
        <v>9.0619892531657431</v>
      </c>
      <c r="Q27" s="541">
        <f t="shared" si="3"/>
        <v>6.0413261687771627</v>
      </c>
      <c r="R27" s="541">
        <f t="shared" si="3"/>
        <v>3.0206630843885813</v>
      </c>
      <c r="S27" s="541">
        <f t="shared" si="3"/>
        <v>0</v>
      </c>
      <c r="T27" s="542"/>
      <c r="U27" s="542"/>
      <c r="V27" s="542"/>
      <c r="W27" s="542"/>
      <c r="X27" s="542"/>
      <c r="Y27" s="542"/>
      <c r="Z27" s="542"/>
      <c r="AA27" s="542"/>
      <c r="AB27" s="542"/>
      <c r="AC27" s="542"/>
      <c r="AD27" s="542"/>
      <c r="AE27" s="542"/>
    </row>
    <row r="28" spans="2:31" ht="14" customHeight="1">
      <c r="B28" s="10" t="s">
        <v>46</v>
      </c>
      <c r="I28" s="542">
        <f>I27+H28</f>
        <v>30.206630843885819</v>
      </c>
      <c r="J28" s="542">
        <f t="shared" ref="J28:AE28" si="4">J27+I28</f>
        <v>57.392598603383057</v>
      </c>
      <c r="K28" s="542">
        <f t="shared" si="4"/>
        <v>81.557903278491722</v>
      </c>
      <c r="L28" s="542">
        <f t="shared" si="4"/>
        <v>102.70254486921179</v>
      </c>
      <c r="M28" s="542">
        <f t="shared" si="4"/>
        <v>120.82652337554327</v>
      </c>
      <c r="N28" s="542">
        <f t="shared" si="4"/>
        <v>135.92983879748618</v>
      </c>
      <c r="O28" s="542">
        <f t="shared" si="4"/>
        <v>148.01249113504051</v>
      </c>
      <c r="P28" s="542">
        <f t="shared" si="4"/>
        <v>157.07448038820624</v>
      </c>
      <c r="Q28" s="542">
        <f t="shared" si="4"/>
        <v>163.11580655698342</v>
      </c>
      <c r="R28" s="542">
        <f t="shared" si="4"/>
        <v>166.136469641372</v>
      </c>
      <c r="S28" s="542">
        <f t="shared" si="4"/>
        <v>166.136469641372</v>
      </c>
      <c r="T28" s="542">
        <f t="shared" si="4"/>
        <v>166.136469641372</v>
      </c>
      <c r="U28" s="542">
        <f t="shared" si="4"/>
        <v>166.136469641372</v>
      </c>
      <c r="V28" s="542">
        <f t="shared" si="4"/>
        <v>166.136469641372</v>
      </c>
      <c r="W28" s="542">
        <f t="shared" si="4"/>
        <v>166.136469641372</v>
      </c>
      <c r="X28" s="542">
        <f t="shared" si="4"/>
        <v>166.136469641372</v>
      </c>
      <c r="Y28" s="542">
        <f t="shared" si="4"/>
        <v>166.136469641372</v>
      </c>
      <c r="Z28" s="542">
        <f t="shared" si="4"/>
        <v>166.136469641372</v>
      </c>
      <c r="AA28" s="542">
        <f t="shared" si="4"/>
        <v>166.136469641372</v>
      </c>
      <c r="AB28" s="542">
        <f t="shared" si="4"/>
        <v>166.136469641372</v>
      </c>
      <c r="AC28" s="542">
        <f t="shared" si="4"/>
        <v>166.136469641372</v>
      </c>
      <c r="AD28" s="542">
        <f t="shared" si="4"/>
        <v>166.136469641372</v>
      </c>
      <c r="AE28" s="542">
        <f t="shared" si="4"/>
        <v>166.136469641372</v>
      </c>
    </row>
    <row r="29" spans="2:31" ht="14" customHeight="1">
      <c r="I29" s="542"/>
      <c r="J29" s="542"/>
      <c r="K29" s="542"/>
      <c r="L29" s="542"/>
      <c r="M29" s="542"/>
      <c r="N29" s="542"/>
      <c r="O29" s="542"/>
      <c r="P29" s="542"/>
      <c r="Q29" s="542"/>
      <c r="R29" s="542"/>
      <c r="S29" s="542"/>
      <c r="T29" s="542"/>
      <c r="U29" s="542"/>
      <c r="V29" s="542"/>
      <c r="W29" s="542"/>
      <c r="X29" s="542"/>
      <c r="Y29" s="542"/>
      <c r="Z29" s="542"/>
      <c r="AA29" s="542"/>
      <c r="AB29" s="542"/>
      <c r="AC29" s="542"/>
      <c r="AD29" s="542"/>
      <c r="AE29" s="542"/>
    </row>
    <row r="30" spans="2:31" ht="14" customHeight="1">
      <c r="B30" s="950" t="s">
        <v>37</v>
      </c>
      <c r="C30" s="950"/>
      <c r="D30" s="950"/>
      <c r="E30" s="950"/>
      <c r="F30" s="950"/>
      <c r="I30" s="542">
        <f t="shared" ref="I30:AE30" si="5">I13-I18-I27</f>
        <v>322.27293928274401</v>
      </c>
      <c r="J30" s="542">
        <f t="shared" si="5"/>
        <v>333.82211965115255</v>
      </c>
      <c r="K30" s="542">
        <f t="shared" si="5"/>
        <v>345.79645729993661</v>
      </c>
      <c r="L30" s="542">
        <f t="shared" si="5"/>
        <v>357.89638079903295</v>
      </c>
      <c r="M30" s="542">
        <f t="shared" si="5"/>
        <v>370.2223259170043</v>
      </c>
      <c r="N30" s="542">
        <f t="shared" si="5"/>
        <v>382.47473574201126</v>
      </c>
      <c r="O30" s="542">
        <f t="shared" si="5"/>
        <v>395.15406080481716</v>
      </c>
      <c r="P30" s="542">
        <f t="shared" si="5"/>
        <v>408.06075920386019</v>
      </c>
      <c r="Q30" s="542">
        <f t="shared" si="5"/>
        <v>421.19529673242585</v>
      </c>
      <c r="R30" s="542">
        <f t="shared" si="5"/>
        <v>434.65814700795636</v>
      </c>
      <c r="S30" s="542">
        <f t="shared" si="5"/>
        <v>447.64979160353255</v>
      </c>
      <c r="T30" s="542">
        <f t="shared" si="5"/>
        <v>457.29018354724866</v>
      </c>
      <c r="U30" s="542">
        <f t="shared" si="5"/>
        <v>467.13967704039993</v>
      </c>
      <c r="V30" s="542">
        <f t="shared" si="5"/>
        <v>477.09833606120321</v>
      </c>
      <c r="W30" s="542">
        <f t="shared" si="5"/>
        <v>487.26622619837502</v>
      </c>
      <c r="X30" s="542">
        <f t="shared" si="5"/>
        <v>497.64341465575785</v>
      </c>
      <c r="Y30" s="542">
        <f t="shared" si="5"/>
        <v>508.12997025626726</v>
      </c>
      <c r="Z30" s="541">
        <f t="shared" si="5"/>
        <v>519.02596344519407</v>
      </c>
      <c r="AA30" s="541">
        <f t="shared" si="5"/>
        <v>529.9314662928989</v>
      </c>
      <c r="AB30" s="541">
        <f t="shared" si="5"/>
        <v>541.34655249693458</v>
      </c>
      <c r="AC30" s="541">
        <f t="shared" si="5"/>
        <v>552.97129738363321</v>
      </c>
      <c r="AD30" s="541">
        <f t="shared" si="5"/>
        <v>564.19104543443405</v>
      </c>
      <c r="AE30" s="541">
        <f t="shared" si="5"/>
        <v>575.90930217458276</v>
      </c>
    </row>
    <row r="31" spans="2:31" ht="14" customHeight="1">
      <c r="B31" s="950"/>
      <c r="C31" s="950"/>
      <c r="D31" s="950"/>
      <c r="E31" s="950"/>
      <c r="F31" s="950"/>
      <c r="I31" s="542"/>
      <c r="J31" s="542"/>
      <c r="K31" s="542"/>
      <c r="L31" s="542"/>
      <c r="M31" s="542"/>
      <c r="N31" s="542"/>
      <c r="O31" s="542"/>
      <c r="P31" s="542"/>
      <c r="Q31" s="542"/>
      <c r="R31" s="542"/>
      <c r="S31" s="542"/>
      <c r="T31" s="542"/>
      <c r="U31" s="542"/>
      <c r="V31" s="542"/>
      <c r="W31" s="542"/>
      <c r="X31" s="542"/>
      <c r="Y31" s="542"/>
      <c r="Z31" s="542"/>
      <c r="AA31" s="542"/>
      <c r="AB31" s="542"/>
      <c r="AC31" s="542"/>
      <c r="AD31" s="542"/>
      <c r="AE31" s="542"/>
    </row>
    <row r="32" spans="2:31" ht="14" customHeight="1">
      <c r="I32" s="542"/>
      <c r="J32" s="542"/>
      <c r="K32" s="542"/>
      <c r="L32" s="542"/>
      <c r="M32" s="542"/>
      <c r="N32" s="542"/>
      <c r="O32" s="542"/>
      <c r="P32" s="542"/>
      <c r="Q32" s="542"/>
      <c r="R32" s="542"/>
      <c r="S32" s="542"/>
      <c r="T32" s="542"/>
      <c r="U32" s="542"/>
      <c r="V32" s="542"/>
      <c r="W32" s="542"/>
      <c r="X32" s="542"/>
      <c r="Y32" s="542"/>
      <c r="Z32" s="542"/>
      <c r="AA32" s="542"/>
      <c r="AB32" s="542"/>
      <c r="AC32" s="542"/>
      <c r="AD32" s="542"/>
      <c r="AE32" s="542"/>
    </row>
    <row r="33" spans="2:32" ht="14" customHeight="1">
      <c r="B33" t="s">
        <v>42</v>
      </c>
      <c r="I33" s="542">
        <f>I30+H33</f>
        <v>322.27293928274401</v>
      </c>
      <c r="J33" s="542">
        <f t="shared" ref="J33:AE33" si="6">J30+I33</f>
        <v>656.09505893389655</v>
      </c>
      <c r="K33" s="542">
        <f t="shared" si="6"/>
        <v>1001.8915162338332</v>
      </c>
      <c r="L33" s="542">
        <f t="shared" si="6"/>
        <v>1359.7878970328661</v>
      </c>
      <c r="M33" s="542">
        <f t="shared" si="6"/>
        <v>1730.0102229498705</v>
      </c>
      <c r="N33" s="542">
        <f t="shared" si="6"/>
        <v>2112.4849586918817</v>
      </c>
      <c r="O33" s="542">
        <f t="shared" si="6"/>
        <v>2507.6390194966989</v>
      </c>
      <c r="P33" s="542">
        <f t="shared" si="6"/>
        <v>2915.6997787005589</v>
      </c>
      <c r="Q33" s="542">
        <f t="shared" si="6"/>
        <v>3336.8950754329849</v>
      </c>
      <c r="R33" s="542">
        <f t="shared" si="6"/>
        <v>3771.5532224409412</v>
      </c>
      <c r="S33" s="542">
        <f t="shared" si="6"/>
        <v>4219.203014044474</v>
      </c>
      <c r="T33" s="542">
        <f t="shared" si="6"/>
        <v>4676.4931975917225</v>
      </c>
      <c r="U33" s="542">
        <f t="shared" si="6"/>
        <v>5143.6328746321224</v>
      </c>
      <c r="V33" s="542">
        <f t="shared" si="6"/>
        <v>5620.7312106933259</v>
      </c>
      <c r="W33" s="542">
        <f t="shared" si="6"/>
        <v>6107.997436891701</v>
      </c>
      <c r="X33" s="542">
        <f t="shared" si="6"/>
        <v>6605.6408515474586</v>
      </c>
      <c r="Y33" s="542">
        <f t="shared" si="6"/>
        <v>7113.770821803726</v>
      </c>
      <c r="Z33" s="542">
        <f t="shared" si="6"/>
        <v>7632.7967852489201</v>
      </c>
      <c r="AA33" s="542">
        <f t="shared" si="6"/>
        <v>8162.7282515418192</v>
      </c>
      <c r="AB33" s="542">
        <f t="shared" si="6"/>
        <v>8704.0748040387534</v>
      </c>
      <c r="AC33" s="542">
        <f t="shared" si="6"/>
        <v>9257.0461014223874</v>
      </c>
      <c r="AD33" s="542">
        <f t="shared" si="6"/>
        <v>9821.2371468568217</v>
      </c>
      <c r="AE33" s="542">
        <f t="shared" si="6"/>
        <v>10397.146449031405</v>
      </c>
    </row>
    <row r="35" spans="2:32" ht="14" customHeight="1">
      <c r="B35" t="s">
        <v>38</v>
      </c>
    </row>
    <row r="36" spans="2:32" ht="14" customHeight="1">
      <c r="B36" s="10" t="s">
        <v>39</v>
      </c>
      <c r="I36" s="15">
        <f t="shared" ref="I36:AE36" si="7">I30/I13</f>
        <v>0.88907890497155495</v>
      </c>
      <c r="J36" s="15">
        <f t="shared" si="7"/>
        <v>0.89977046587036247</v>
      </c>
      <c r="K36" s="15">
        <f t="shared" si="7"/>
        <v>0.910082255389287</v>
      </c>
      <c r="L36" s="15">
        <f t="shared" si="7"/>
        <v>0.91994509627954235</v>
      </c>
      <c r="M36" s="15">
        <f t="shared" si="7"/>
        <v>0.92939816889466309</v>
      </c>
      <c r="N36" s="15">
        <f t="shared" si="7"/>
        <v>0.93840856898389569</v>
      </c>
      <c r="O36" s="15">
        <f t="shared" si="7"/>
        <v>0.94707404300249287</v>
      </c>
      <c r="P36" s="15">
        <f t="shared" si="7"/>
        <v>0.95537116830694013</v>
      </c>
      <c r="Q36" s="15">
        <f t="shared" si="7"/>
        <v>0.9633120252774392</v>
      </c>
      <c r="R36" s="15">
        <f t="shared" si="7"/>
        <v>0.97091516777016373</v>
      </c>
      <c r="S36" s="15">
        <f t="shared" si="7"/>
        <v>0.9781492307361016</v>
      </c>
      <c r="T36" s="15">
        <f t="shared" si="7"/>
        <v>0.97860002124570866</v>
      </c>
      <c r="U36" s="15">
        <f t="shared" si="7"/>
        <v>0.97904177648350699</v>
      </c>
      <c r="V36" s="15">
        <f t="shared" si="7"/>
        <v>0.97947026450374997</v>
      </c>
      <c r="W36" s="15">
        <f t="shared" si="7"/>
        <v>0.97989004787948197</v>
      </c>
      <c r="X36" s="15">
        <f t="shared" si="7"/>
        <v>0.98030113321418499</v>
      </c>
      <c r="Y36" s="15">
        <f t="shared" si="7"/>
        <v>0.98069982326045724</v>
      </c>
      <c r="Z36" s="15">
        <f t="shared" si="7"/>
        <v>0.98109733606479976</v>
      </c>
      <c r="AA36" s="15">
        <f t="shared" si="7"/>
        <v>0.98147913091885763</v>
      </c>
      <c r="AB36" s="15">
        <f t="shared" si="7"/>
        <v>0.98186258723354292</v>
      </c>
      <c r="AC36" s="15">
        <f t="shared" si="7"/>
        <v>0.98223710507716067</v>
      </c>
      <c r="AD36" s="15">
        <f t="shared" si="7"/>
        <v>0.98258419374611805</v>
      </c>
      <c r="AE36" s="15">
        <f t="shared" si="7"/>
        <v>0.98293251197261189</v>
      </c>
      <c r="AF36" s="5"/>
    </row>
    <row r="37" spans="2:32" ht="14" customHeight="1">
      <c r="B37" s="10" t="s">
        <v>40</v>
      </c>
      <c r="I37" s="15">
        <f t="shared" ref="I37:AE37" si="8">I33/I16</f>
        <v>0.88907890497155495</v>
      </c>
      <c r="J37" s="15">
        <f t="shared" si="8"/>
        <v>0.89448684267812706</v>
      </c>
      <c r="K37" s="15">
        <f t="shared" si="8"/>
        <v>0.89980873731349875</v>
      </c>
      <c r="L37" s="15">
        <f t="shared" si="8"/>
        <v>0.90502266045129887</v>
      </c>
      <c r="M37" s="15">
        <f t="shared" si="8"/>
        <v>0.91013088119967434</v>
      </c>
      <c r="N37" s="15">
        <f t="shared" si="8"/>
        <v>0.91512364285197823</v>
      </c>
      <c r="O37" s="15">
        <f t="shared" si="8"/>
        <v>0.92001453953865497</v>
      </c>
      <c r="P37" s="15">
        <f t="shared" si="8"/>
        <v>0.92480448617443134</v>
      </c>
      <c r="Q37" s="15">
        <f t="shared" si="8"/>
        <v>0.92949441801784194</v>
      </c>
      <c r="R37" s="15">
        <f t="shared" si="8"/>
        <v>0.93408694329253406</v>
      </c>
      <c r="S37" s="15">
        <f t="shared" si="8"/>
        <v>0.93857272167241068</v>
      </c>
      <c r="T37" s="15">
        <f t="shared" si="8"/>
        <v>0.94234176458286745</v>
      </c>
      <c r="U37" s="15">
        <f t="shared" si="8"/>
        <v>0.94556084074536761</v>
      </c>
      <c r="V37" s="15">
        <f t="shared" si="8"/>
        <v>0.94834767938937958</v>
      </c>
      <c r="W37" s="15">
        <f t="shared" si="8"/>
        <v>0.9507892465753438</v>
      </c>
      <c r="X37" s="15">
        <f t="shared" si="8"/>
        <v>0.95295052703951577</v>
      </c>
      <c r="Y37" s="15">
        <f t="shared" si="8"/>
        <v>0.95488044931413241</v>
      </c>
      <c r="Z37" s="15">
        <f t="shared" si="8"/>
        <v>0.95661870345522382</v>
      </c>
      <c r="AA37" s="15">
        <f t="shared" si="8"/>
        <v>0.95819437433302646</v>
      </c>
      <c r="AB37" s="15">
        <f t="shared" si="8"/>
        <v>0.9596330825607311</v>
      </c>
      <c r="AC37" s="15">
        <f t="shared" si="8"/>
        <v>0.96095408066164834</v>
      </c>
      <c r="AD37" s="15">
        <f t="shared" si="8"/>
        <v>0.96217083021069605</v>
      </c>
      <c r="AE37" s="15">
        <f t="shared" si="8"/>
        <v>0.96329787029338032</v>
      </c>
    </row>
    <row r="38" spans="2:32" ht="14" customHeight="1">
      <c r="I38" s="16"/>
      <c r="J38" s="16"/>
      <c r="K38" s="16"/>
      <c r="L38" s="16"/>
      <c r="M38" s="16"/>
      <c r="N38" s="16"/>
      <c r="O38" s="16"/>
      <c r="P38" s="16"/>
      <c r="Q38" s="16"/>
      <c r="R38" s="16"/>
      <c r="S38" s="16"/>
      <c r="T38" s="16"/>
      <c r="U38" s="16"/>
      <c r="V38" s="16"/>
      <c r="W38" s="16"/>
      <c r="X38" s="16"/>
      <c r="Y38" s="16"/>
      <c r="Z38" s="16"/>
      <c r="AA38" s="16"/>
      <c r="AB38" s="16"/>
      <c r="AC38" s="16"/>
      <c r="AD38" s="16"/>
      <c r="AE38" s="16"/>
    </row>
    <row r="39" spans="2:32" ht="14" customHeight="1">
      <c r="B39" t="s">
        <v>44</v>
      </c>
      <c r="I39" s="16"/>
      <c r="J39" s="16"/>
      <c r="K39" s="16"/>
      <c r="L39" s="16"/>
      <c r="M39" s="16"/>
      <c r="N39" s="16"/>
      <c r="O39" s="16"/>
      <c r="P39" s="16"/>
      <c r="Q39" s="16"/>
      <c r="R39" s="16"/>
      <c r="S39" s="16"/>
      <c r="T39" s="16"/>
      <c r="U39" s="16"/>
      <c r="V39" s="16"/>
      <c r="W39" s="16"/>
      <c r="X39" s="16"/>
      <c r="Y39" s="16"/>
      <c r="Z39" s="16"/>
      <c r="AA39" s="16"/>
      <c r="AB39" s="16"/>
      <c r="AC39" s="16"/>
      <c r="AD39" s="16"/>
      <c r="AE39" s="16"/>
    </row>
    <row r="40" spans="2:32" ht="14" customHeight="1">
      <c r="B40" s="10" t="s">
        <v>39</v>
      </c>
      <c r="I40" s="15">
        <f t="shared" ref="I40:AE40" si="9">I18/I13</f>
        <v>2.7587761695111717E-2</v>
      </c>
      <c r="J40" s="15">
        <f t="shared" si="9"/>
        <v>2.6953590337591517E-2</v>
      </c>
      <c r="K40" s="15">
        <f t="shared" si="9"/>
        <v>2.6318437802845988E-2</v>
      </c>
      <c r="L40" s="15">
        <f t="shared" si="9"/>
        <v>2.5704230208354991E-2</v>
      </c>
      <c r="M40" s="15">
        <f t="shared" si="9"/>
        <v>2.5103785045719088E-2</v>
      </c>
      <c r="N40" s="15">
        <f t="shared" si="9"/>
        <v>2.4535177916087919E-2</v>
      </c>
      <c r="O40" s="15">
        <f t="shared" si="9"/>
        <v>2.3967210183126315E-2</v>
      </c>
      <c r="P40" s="15">
        <f t="shared" si="9"/>
        <v>2.3412473430939558E-2</v>
      </c>
      <c r="Q40" s="15">
        <f t="shared" si="9"/>
        <v>2.2870911255436114E-2</v>
      </c>
      <c r="R40" s="15">
        <f t="shared" si="9"/>
        <v>2.2337443217241511E-2</v>
      </c>
      <c r="S40" s="15">
        <f t="shared" si="9"/>
        <v>2.1850769263898451E-2</v>
      </c>
      <c r="T40" s="15">
        <f t="shared" si="9"/>
        <v>2.1399978754291293E-2</v>
      </c>
      <c r="U40" s="15">
        <f t="shared" si="9"/>
        <v>2.095822351649303E-2</v>
      </c>
      <c r="V40" s="15">
        <f t="shared" si="9"/>
        <v>2.052973549625001E-2</v>
      </c>
      <c r="W40" s="15">
        <f t="shared" si="9"/>
        <v>2.0109952120518009E-2</v>
      </c>
      <c r="X40" s="15">
        <f t="shared" si="9"/>
        <v>1.9698866785814961E-2</v>
      </c>
      <c r="Y40" s="15">
        <f t="shared" si="9"/>
        <v>1.9300176739542776E-2</v>
      </c>
      <c r="Z40" s="15">
        <f t="shared" si="9"/>
        <v>1.8902663935200181E-2</v>
      </c>
      <c r="AA40" s="15">
        <f t="shared" si="9"/>
        <v>1.8520869081142342E-2</v>
      </c>
      <c r="AB40" s="15">
        <f t="shared" si="9"/>
        <v>1.813741276645708E-2</v>
      </c>
      <c r="AC40" s="15">
        <f t="shared" si="9"/>
        <v>1.7762894922839313E-2</v>
      </c>
      <c r="AD40" s="15">
        <f t="shared" si="9"/>
        <v>1.7415806253881897E-2</v>
      </c>
      <c r="AE40" s="15">
        <f t="shared" si="9"/>
        <v>1.7067488027388087E-2</v>
      </c>
      <c r="AF40" s="5"/>
    </row>
    <row r="41" spans="2:32" ht="14" customHeight="1">
      <c r="B41" s="10" t="s">
        <v>40</v>
      </c>
      <c r="I41" s="15">
        <f t="shared" ref="I41:AE41" si="10">I20/I16</f>
        <v>2.7587761695111717E-2</v>
      </c>
      <c r="J41" s="15">
        <f t="shared" si="10"/>
        <v>2.7266989150370943E-2</v>
      </c>
      <c r="K41" s="15">
        <f t="shared" si="10"/>
        <v>2.6943298433025883E-2</v>
      </c>
      <c r="L41" s="15">
        <f t="shared" si="10"/>
        <v>2.66224655308702E-2</v>
      </c>
      <c r="M41" s="15">
        <f t="shared" si="10"/>
        <v>2.6304205290989389E-2</v>
      </c>
      <c r="N41" s="15">
        <f t="shared" si="10"/>
        <v>2.5991862495967369E-2</v>
      </c>
      <c r="O41" s="15">
        <f t="shared" si="10"/>
        <v>2.5681933191736502E-2</v>
      </c>
      <c r="P41" s="15">
        <f t="shared" si="10"/>
        <v>2.5374477658645346E-2</v>
      </c>
      <c r="Q41" s="15">
        <f t="shared" si="10"/>
        <v>2.5069561892278266E-2</v>
      </c>
      <c r="R41" s="15">
        <f t="shared" si="10"/>
        <v>2.476663825753982E-2</v>
      </c>
      <c r="S41" s="15">
        <f t="shared" si="10"/>
        <v>2.446978707597143E-2</v>
      </c>
      <c r="T41" s="15">
        <f t="shared" si="10"/>
        <v>2.4180728373170306E-2</v>
      </c>
      <c r="U41" s="15">
        <f t="shared" si="10"/>
        <v>2.3898072100585008E-2</v>
      </c>
      <c r="V41" s="15">
        <f t="shared" si="10"/>
        <v>2.3621246086616535E-2</v>
      </c>
      <c r="W41" s="15">
        <f t="shared" si="10"/>
        <v>2.3349451020542446E-2</v>
      </c>
      <c r="X41" s="15">
        <f t="shared" si="10"/>
        <v>2.3082103273992547E-2</v>
      </c>
      <c r="Y41" s="15">
        <f t="shared" si="10"/>
        <v>2.2819075909201576E-2</v>
      </c>
      <c r="Z41" s="15">
        <f t="shared" si="10"/>
        <v>2.2559406658738235E-2</v>
      </c>
      <c r="AA41" s="15">
        <f t="shared" si="10"/>
        <v>2.2303441387857934E-2</v>
      </c>
      <c r="AB41" s="15">
        <f t="shared" si="10"/>
        <v>2.2050203017911899E-2</v>
      </c>
      <c r="AC41" s="15">
        <f t="shared" si="10"/>
        <v>2.1799649124350649E-2</v>
      </c>
      <c r="AD41" s="15">
        <f t="shared" si="10"/>
        <v>2.1553046676415732E-2</v>
      </c>
      <c r="AE41" s="15">
        <f t="shared" si="10"/>
        <v>2.1309549812883303E-2</v>
      </c>
      <c r="AF41" s="5"/>
    </row>
    <row r="42" spans="2:32" ht="14" customHeight="1">
      <c r="I42" s="15"/>
      <c r="J42" s="15"/>
      <c r="K42" s="15"/>
      <c r="L42" s="15"/>
      <c r="M42" s="15"/>
      <c r="N42" s="15"/>
      <c r="O42" s="15"/>
      <c r="P42" s="15"/>
      <c r="Q42" s="15"/>
      <c r="R42" s="15"/>
      <c r="S42" s="15"/>
      <c r="T42" s="15"/>
      <c r="U42" s="15"/>
      <c r="V42" s="15"/>
      <c r="W42" s="15"/>
      <c r="X42" s="15"/>
      <c r="Y42" s="15"/>
      <c r="Z42" s="15"/>
      <c r="AA42" s="15"/>
      <c r="AB42" s="15"/>
      <c r="AC42" s="15"/>
      <c r="AD42" s="15"/>
      <c r="AE42" s="15"/>
      <c r="AF42" s="5"/>
    </row>
    <row r="43" spans="2:32" ht="14" customHeight="1">
      <c r="B43" t="s">
        <v>45</v>
      </c>
      <c r="I43" s="15"/>
      <c r="J43" s="15"/>
      <c r="K43" s="15"/>
      <c r="L43" s="15"/>
      <c r="M43" s="15"/>
      <c r="N43" s="15"/>
      <c r="O43" s="15"/>
      <c r="P43" s="15"/>
      <c r="Q43" s="15"/>
      <c r="R43" s="15"/>
      <c r="S43" s="15"/>
      <c r="T43" s="15"/>
      <c r="U43" s="15"/>
      <c r="V43" s="15"/>
      <c r="W43" s="15"/>
      <c r="X43" s="15"/>
      <c r="Y43" s="15"/>
      <c r="Z43" s="15"/>
      <c r="AA43" s="15"/>
      <c r="AB43" s="15"/>
      <c r="AC43" s="15"/>
      <c r="AD43" s="15"/>
      <c r="AE43" s="15"/>
      <c r="AF43" s="5"/>
    </row>
    <row r="44" spans="2:32" ht="14" customHeight="1">
      <c r="B44" s="10" t="s">
        <v>39</v>
      </c>
      <c r="I44" s="15">
        <f t="shared" ref="I44:AE44" si="11">I27/I13</f>
        <v>8.3333333333333329E-2</v>
      </c>
      <c r="J44" s="15">
        <f t="shared" si="11"/>
        <v>7.3275943792045925E-2</v>
      </c>
      <c r="K44" s="15">
        <f t="shared" si="11"/>
        <v>6.3599306807867059E-2</v>
      </c>
      <c r="L44" s="15">
        <f t="shared" si="11"/>
        <v>5.4350673512102612E-2</v>
      </c>
      <c r="M44" s="15">
        <f t="shared" si="11"/>
        <v>4.5498046059617867E-2</v>
      </c>
      <c r="N44" s="15">
        <f t="shared" si="11"/>
        <v>3.7056253100016374E-2</v>
      </c>
      <c r="O44" s="15">
        <f t="shared" si="11"/>
        <v>2.8958746814380702E-2</v>
      </c>
      <c r="P44" s="15">
        <f t="shared" si="11"/>
        <v>2.1216358262120278E-2</v>
      </c>
      <c r="Q44" s="15">
        <f t="shared" si="11"/>
        <v>1.3817063467124635E-2</v>
      </c>
      <c r="R44" s="15">
        <f t="shared" si="11"/>
        <v>6.7473890125947537E-3</v>
      </c>
      <c r="S44" s="15">
        <f t="shared" si="11"/>
        <v>0</v>
      </c>
      <c r="T44" s="15">
        <f t="shared" si="11"/>
        <v>0</v>
      </c>
      <c r="U44" s="15">
        <f t="shared" si="11"/>
        <v>0</v>
      </c>
      <c r="V44" s="15">
        <f t="shared" si="11"/>
        <v>0</v>
      </c>
      <c r="W44" s="15">
        <f t="shared" si="11"/>
        <v>0</v>
      </c>
      <c r="X44" s="15">
        <f t="shared" si="11"/>
        <v>0</v>
      </c>
      <c r="Y44" s="15">
        <f t="shared" si="11"/>
        <v>0</v>
      </c>
      <c r="Z44" s="15">
        <f t="shared" si="11"/>
        <v>0</v>
      </c>
      <c r="AA44" s="15">
        <f t="shared" si="11"/>
        <v>0</v>
      </c>
      <c r="AB44" s="15">
        <f t="shared" si="11"/>
        <v>0</v>
      </c>
      <c r="AC44" s="15">
        <f t="shared" si="11"/>
        <v>0</v>
      </c>
      <c r="AD44" s="15">
        <f t="shared" si="11"/>
        <v>0</v>
      </c>
      <c r="AE44" s="15">
        <f t="shared" si="11"/>
        <v>0</v>
      </c>
      <c r="AF44" s="5"/>
    </row>
    <row r="45" spans="2:32" ht="14" customHeight="1">
      <c r="B45" s="10" t="s">
        <v>40</v>
      </c>
      <c r="I45" s="15">
        <f t="shared" ref="I45:AE45" si="12">I28/I16</f>
        <v>8.3333333333333329E-2</v>
      </c>
      <c r="J45" s="15">
        <f t="shared" si="12"/>
        <v>7.8246168171502012E-2</v>
      </c>
      <c r="K45" s="15">
        <f t="shared" si="12"/>
        <v>7.324796425347542E-2</v>
      </c>
      <c r="L45" s="15">
        <f t="shared" si="12"/>
        <v>6.8354874017831024E-2</v>
      </c>
      <c r="M45" s="15">
        <f t="shared" si="12"/>
        <v>6.3564913509336379E-2</v>
      </c>
      <c r="N45" s="15">
        <f t="shared" si="12"/>
        <v>5.8884494652054517E-2</v>
      </c>
      <c r="O45" s="15">
        <f t="shared" si="12"/>
        <v>5.430352726960859E-2</v>
      </c>
      <c r="P45" s="15">
        <f t="shared" si="12"/>
        <v>4.9821036166923321E-2</v>
      </c>
      <c r="Q45" s="15">
        <f t="shared" si="12"/>
        <v>4.5436020089879833E-2</v>
      </c>
      <c r="R45" s="15">
        <f t="shared" si="12"/>
        <v>4.1146418449926066E-2</v>
      </c>
      <c r="S45" s="15">
        <f t="shared" si="12"/>
        <v>3.6957491251617861E-2</v>
      </c>
      <c r="T45" s="15">
        <f t="shared" si="12"/>
        <v>3.3477507043962261E-2</v>
      </c>
      <c r="U45" s="15">
        <f t="shared" si="12"/>
        <v>3.0541087154047387E-2</v>
      </c>
      <c r="V45" s="15">
        <f t="shared" si="12"/>
        <v>2.8031074524003892E-2</v>
      </c>
      <c r="W45" s="15">
        <f t="shared" si="12"/>
        <v>2.5861302404113686E-2</v>
      </c>
      <c r="X45" s="15">
        <f t="shared" si="12"/>
        <v>2.3967369686491727E-2</v>
      </c>
      <c r="Y45" s="15">
        <f t="shared" si="12"/>
        <v>2.2300474776666062E-2</v>
      </c>
      <c r="Z45" s="15">
        <f t="shared" si="12"/>
        <v>2.0821889886037948E-2</v>
      </c>
      <c r="AA45" s="15">
        <f t="shared" si="12"/>
        <v>1.9502184279115681E-2</v>
      </c>
      <c r="AB45" s="15">
        <f t="shared" si="12"/>
        <v>1.8316714421357048E-2</v>
      </c>
      <c r="AC45" s="15">
        <f t="shared" si="12"/>
        <v>1.7246270214001158E-2</v>
      </c>
      <c r="AD45" s="15">
        <f t="shared" si="12"/>
        <v>1.6276123112888254E-2</v>
      </c>
      <c r="AE45" s="15">
        <f t="shared" si="12"/>
        <v>1.5392579893736484E-2</v>
      </c>
      <c r="AF45" s="5"/>
    </row>
    <row r="46" spans="2:32" ht="14" customHeight="1">
      <c r="I46" s="16"/>
      <c r="J46" s="16"/>
      <c r="K46" s="16"/>
      <c r="L46" s="16"/>
      <c r="M46" s="16"/>
      <c r="N46" s="16"/>
      <c r="O46" s="16"/>
      <c r="P46" s="16"/>
      <c r="Q46" s="16"/>
      <c r="R46" s="16"/>
      <c r="S46" s="16"/>
      <c r="T46" s="16"/>
      <c r="U46" s="16"/>
      <c r="V46" s="16"/>
      <c r="W46" s="16"/>
      <c r="X46" s="16"/>
      <c r="Y46" s="16"/>
      <c r="Z46" s="16"/>
      <c r="AA46" s="16"/>
      <c r="AB46" s="16"/>
      <c r="AC46" s="16"/>
      <c r="AD46" s="16"/>
      <c r="AE46" s="16"/>
    </row>
    <row r="47" spans="2:32" ht="14" customHeight="1">
      <c r="I47" s="16">
        <f t="shared" ref="I47:AE47" si="13">I36+I40+I44</f>
        <v>1</v>
      </c>
      <c r="J47" s="16">
        <f t="shared" si="13"/>
        <v>0.99999999999999989</v>
      </c>
      <c r="K47" s="16">
        <f t="shared" si="13"/>
        <v>1</v>
      </c>
      <c r="L47" s="16">
        <f t="shared" si="13"/>
        <v>1</v>
      </c>
      <c r="M47" s="16">
        <f t="shared" si="13"/>
        <v>1</v>
      </c>
      <c r="N47" s="16">
        <f t="shared" si="13"/>
        <v>1</v>
      </c>
      <c r="O47" s="16">
        <f t="shared" si="13"/>
        <v>0.99999999999999989</v>
      </c>
      <c r="P47" s="16">
        <f t="shared" si="13"/>
        <v>1</v>
      </c>
      <c r="Q47" s="16">
        <f t="shared" si="13"/>
        <v>1</v>
      </c>
      <c r="R47" s="16">
        <f t="shared" si="13"/>
        <v>1</v>
      </c>
      <c r="S47" s="16">
        <f t="shared" si="13"/>
        <v>1</v>
      </c>
      <c r="T47" s="16">
        <f t="shared" si="13"/>
        <v>1</v>
      </c>
      <c r="U47" s="16">
        <f t="shared" si="13"/>
        <v>1</v>
      </c>
      <c r="V47" s="16">
        <f t="shared" si="13"/>
        <v>1</v>
      </c>
      <c r="W47" s="16">
        <f t="shared" si="13"/>
        <v>1</v>
      </c>
      <c r="X47" s="16">
        <f t="shared" si="13"/>
        <v>1</v>
      </c>
      <c r="Y47" s="16">
        <f t="shared" si="13"/>
        <v>1</v>
      </c>
      <c r="Z47" s="16">
        <f t="shared" si="13"/>
        <v>1</v>
      </c>
      <c r="AA47" s="16">
        <f t="shared" si="13"/>
        <v>1</v>
      </c>
      <c r="AB47" s="16">
        <f t="shared" si="13"/>
        <v>1</v>
      </c>
      <c r="AC47" s="16">
        <f t="shared" si="13"/>
        <v>1</v>
      </c>
      <c r="AD47" s="16">
        <f t="shared" si="13"/>
        <v>1</v>
      </c>
      <c r="AE47" s="16">
        <f t="shared" si="13"/>
        <v>1</v>
      </c>
    </row>
    <row r="48" spans="2:32" ht="14" customHeight="1">
      <c r="I48" s="16">
        <f t="shared" ref="I48:AE48" si="14">I37+I41+I45</f>
        <v>1</v>
      </c>
      <c r="J48" s="16">
        <f t="shared" si="14"/>
        <v>1</v>
      </c>
      <c r="K48" s="16">
        <f t="shared" si="14"/>
        <v>1</v>
      </c>
      <c r="L48" s="16">
        <f t="shared" si="14"/>
        <v>1</v>
      </c>
      <c r="M48" s="16">
        <f t="shared" si="14"/>
        <v>1.0000000000000002</v>
      </c>
      <c r="N48" s="16">
        <f t="shared" si="14"/>
        <v>1.0000000000000002</v>
      </c>
      <c r="O48" s="16">
        <f t="shared" si="14"/>
        <v>1</v>
      </c>
      <c r="P48" s="16">
        <f t="shared" si="14"/>
        <v>1</v>
      </c>
      <c r="Q48" s="16">
        <f t="shared" si="14"/>
        <v>1</v>
      </c>
      <c r="R48" s="16">
        <f t="shared" si="14"/>
        <v>0.99999999999999989</v>
      </c>
      <c r="S48" s="16">
        <f t="shared" si="14"/>
        <v>1</v>
      </c>
      <c r="T48" s="16">
        <f t="shared" si="14"/>
        <v>1</v>
      </c>
      <c r="U48" s="16">
        <f t="shared" si="14"/>
        <v>1</v>
      </c>
      <c r="V48" s="16">
        <f t="shared" si="14"/>
        <v>1</v>
      </c>
      <c r="W48" s="16">
        <f t="shared" si="14"/>
        <v>0.99999999999999989</v>
      </c>
      <c r="X48" s="16">
        <f t="shared" si="14"/>
        <v>1</v>
      </c>
      <c r="Y48" s="16">
        <f t="shared" si="14"/>
        <v>1</v>
      </c>
      <c r="Z48" s="16">
        <f t="shared" si="14"/>
        <v>1</v>
      </c>
      <c r="AA48" s="16">
        <f t="shared" si="14"/>
        <v>1</v>
      </c>
      <c r="AB48" s="16">
        <f t="shared" si="14"/>
        <v>1</v>
      </c>
      <c r="AC48" s="16">
        <f t="shared" si="14"/>
        <v>1</v>
      </c>
      <c r="AD48" s="16">
        <f t="shared" si="14"/>
        <v>1</v>
      </c>
      <c r="AE48" s="16">
        <f t="shared" si="14"/>
        <v>1.0000000000000002</v>
      </c>
    </row>
  </sheetData>
  <mergeCells count="2">
    <mergeCell ref="B24:F25"/>
    <mergeCell ref="B30:F31"/>
  </mergeCells>
  <phoneticPr fontId="3" type="noConversion"/>
  <pageMargins left="0.75" right="0.75" top="1" bottom="1" header="0.5" footer="0.5"/>
  <pageSetup orientation="portrait"/>
  <headerFooter alignWithMargins="0"/>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45"/>
  <sheetViews>
    <sheetView workbookViewId="0">
      <selection activeCell="B1" sqref="B1"/>
    </sheetView>
  </sheetViews>
  <sheetFormatPr baseColWidth="10" defaultColWidth="11.6640625" defaultRowHeight="14" customHeight="1" x14ac:dyDescent="0"/>
  <cols>
    <col min="1" max="1" width="2.6640625" customWidth="1"/>
    <col min="2" max="6" width="11.6640625" customWidth="1"/>
    <col min="7" max="7" width="12.6640625" customWidth="1"/>
    <col min="8" max="15" width="11.6640625" customWidth="1"/>
    <col min="16" max="16" width="1.6640625" customWidth="1"/>
  </cols>
  <sheetData>
    <row r="1" spans="2:16" ht="14" customHeight="1">
      <c r="B1" s="1" t="s">
        <v>331</v>
      </c>
      <c r="K1" s="237">
        <f>Summary!F3</f>
        <v>41674</v>
      </c>
    </row>
    <row r="3" spans="2:16" ht="14" customHeight="1">
      <c r="B3" s="32" t="s">
        <v>332</v>
      </c>
    </row>
    <row r="4" spans="2:16" ht="14" customHeight="1">
      <c r="H4" s="798" t="str">
        <f>CONCATENATE("% of personal consumption expenditures (figure to left, divided by Cell F",P39, ")")</f>
        <v>% of personal consumption expenditures (figure to left, divided by Cell F39)</v>
      </c>
      <c r="P4" s="7">
        <f>ROW()</f>
        <v>4</v>
      </c>
    </row>
    <row r="5" spans="2:16" ht="14" customHeight="1">
      <c r="H5" s="798"/>
      <c r="P5" s="7">
        <f>ROW()</f>
        <v>5</v>
      </c>
    </row>
    <row r="6" spans="2:16" ht="14" customHeight="1">
      <c r="H6" s="911"/>
      <c r="P6" s="7">
        <f>ROW()</f>
        <v>6</v>
      </c>
    </row>
    <row r="7" spans="2:16" ht="14" customHeight="1">
      <c r="H7" s="911"/>
      <c r="P7" s="7">
        <f>ROW()</f>
        <v>7</v>
      </c>
    </row>
    <row r="8" spans="2:16" ht="14" customHeight="1">
      <c r="B8" s="32"/>
      <c r="G8" s="12" t="s">
        <v>228</v>
      </c>
      <c r="H8" s="911"/>
      <c r="P8" s="7">
        <f>ROW()</f>
        <v>8</v>
      </c>
    </row>
    <row r="9" spans="2:16" ht="14" customHeight="1">
      <c r="P9" s="7">
        <f>ROW()</f>
        <v>9</v>
      </c>
    </row>
    <row r="10" spans="2:16" ht="14" customHeight="1">
      <c r="B10" s="32" t="s">
        <v>232</v>
      </c>
      <c r="G10" s="208">
        <v>14119</v>
      </c>
      <c r="I10" s="91" t="s">
        <v>224</v>
      </c>
      <c r="P10" s="7">
        <f>ROW()</f>
        <v>10</v>
      </c>
    </row>
    <row r="11" spans="2:16" ht="14" customHeight="1">
      <c r="I11" s="10"/>
      <c r="P11" s="7">
        <f>ROW()</f>
        <v>11</v>
      </c>
    </row>
    <row r="12" spans="2:16" ht="14" customHeight="1">
      <c r="B12" s="32" t="s">
        <v>233</v>
      </c>
      <c r="F12" s="208"/>
      <c r="G12" s="208">
        <f>(Electricity!M28*Electricity!M61/100)*10^9/10^9</f>
        <v>365.67743731679997</v>
      </c>
      <c r="I12" s="91" t="str">
        <f>CONCATENATE("Product of Rows ",Electricity!AP61, " and ",Electricity!AP28, " from 'Electricity' worksheet.")</f>
        <v>Product of Rows 61 and 28 from 'Electricity' worksheet.</v>
      </c>
      <c r="P12" s="7">
        <f>ROW()</f>
        <v>12</v>
      </c>
    </row>
    <row r="13" spans="2:16" ht="14" customHeight="1">
      <c r="B13" s="32" t="s">
        <v>235</v>
      </c>
      <c r="F13" s="208"/>
      <c r="G13" s="221">
        <v>0.37935103703726403</v>
      </c>
      <c r="I13" s="91" t="s">
        <v>225</v>
      </c>
      <c r="P13" s="7">
        <f>ROW()</f>
        <v>13</v>
      </c>
    </row>
    <row r="14" spans="2:16" ht="14" customHeight="1">
      <c r="B14" s="32" t="s">
        <v>234</v>
      </c>
      <c r="F14" s="208"/>
      <c r="G14" s="209">
        <v>1364.4744169999999</v>
      </c>
      <c r="I14" s="91" t="s">
        <v>225</v>
      </c>
      <c r="P14" s="7">
        <f>ROW()</f>
        <v>14</v>
      </c>
    </row>
    <row r="15" spans="2:16" ht="14" customHeight="1">
      <c r="B15" s="32" t="s">
        <v>236</v>
      </c>
      <c r="G15" s="210">
        <f>11.51/100</f>
        <v>0.11509999999999999</v>
      </c>
      <c r="I15" s="91" t="s">
        <v>226</v>
      </c>
      <c r="P15" s="7">
        <f>ROW()</f>
        <v>15</v>
      </c>
    </row>
    <row r="16" spans="2:16" ht="14" customHeight="1">
      <c r="B16" s="32" t="s">
        <v>231</v>
      </c>
      <c r="G16" s="208">
        <f>G14*G15</f>
        <v>157.05100539669999</v>
      </c>
      <c r="H16" s="49">
        <f>G16/$G$39</f>
        <v>1.5566403881089491E-2</v>
      </c>
      <c r="I16" s="91" t="str">
        <f>CONCATENATE("Product of Rows ",P14, " and ",P15, ".")</f>
        <v>Product of Rows 14 and 15.</v>
      </c>
      <c r="P16" s="7">
        <f>ROW()</f>
        <v>16</v>
      </c>
    </row>
    <row r="17" spans="2:16" ht="14" customHeight="1">
      <c r="I17" s="10"/>
      <c r="P17" s="7">
        <f>ROW()</f>
        <v>17</v>
      </c>
    </row>
    <row r="18" spans="2:16" ht="14" customHeight="1">
      <c r="B18" s="32" t="s">
        <v>237</v>
      </c>
      <c r="G18" s="208">
        <v>50486</v>
      </c>
      <c r="I18" s="91" t="s">
        <v>227</v>
      </c>
      <c r="P18" s="7">
        <f>ROW()</f>
        <v>18</v>
      </c>
    </row>
    <row r="19" spans="2:16" ht="14" customHeight="1">
      <c r="B19" s="32" t="s">
        <v>238</v>
      </c>
      <c r="G19" s="212">
        <v>2.5</v>
      </c>
      <c r="I19" s="91" t="s">
        <v>239</v>
      </c>
      <c r="P19" s="7">
        <f>ROW()</f>
        <v>19</v>
      </c>
    </row>
    <row r="20" spans="2:16" ht="14" customHeight="1">
      <c r="B20" s="32" t="s">
        <v>240</v>
      </c>
      <c r="G20" s="208">
        <v>531</v>
      </c>
      <c r="I20" s="91" t="s">
        <v>239</v>
      </c>
      <c r="P20" s="7">
        <f>ROW()</f>
        <v>20</v>
      </c>
    </row>
    <row r="21" spans="2:16" ht="14" customHeight="1">
      <c r="B21" s="32" t="s">
        <v>241</v>
      </c>
      <c r="G21" s="208">
        <v>1353</v>
      </c>
      <c r="I21" s="91" t="s">
        <v>239</v>
      </c>
      <c r="P21" s="7">
        <f>ROW()</f>
        <v>21</v>
      </c>
    </row>
    <row r="22" spans="2:16" ht="14" customHeight="1">
      <c r="B22" s="32" t="s">
        <v>242</v>
      </c>
      <c r="G22" s="208">
        <v>192</v>
      </c>
      <c r="I22" s="91" t="s">
        <v>239</v>
      </c>
      <c r="P22" s="7">
        <f>ROW()</f>
        <v>22</v>
      </c>
    </row>
    <row r="23" spans="2:16" ht="14" customHeight="1">
      <c r="B23" s="32" t="s">
        <v>243</v>
      </c>
      <c r="G23" s="208">
        <v>2715</v>
      </c>
      <c r="I23" s="91" t="s">
        <v>239</v>
      </c>
      <c r="P23" s="7">
        <f>ROW()</f>
        <v>23</v>
      </c>
    </row>
    <row r="24" spans="2:16" ht="14" customHeight="1">
      <c r="B24" s="32" t="s">
        <v>244</v>
      </c>
      <c r="G24" s="211">
        <v>99</v>
      </c>
      <c r="I24" s="91" t="s">
        <v>239</v>
      </c>
      <c r="P24" s="7">
        <f>ROW()</f>
        <v>24</v>
      </c>
    </row>
    <row r="25" spans="2:16" ht="14" customHeight="1">
      <c r="B25" s="32" t="s">
        <v>229</v>
      </c>
      <c r="G25" s="209">
        <v>120770000</v>
      </c>
      <c r="I25" s="91" t="s">
        <v>230</v>
      </c>
      <c r="P25" s="7">
        <f>ROW()</f>
        <v>25</v>
      </c>
    </row>
    <row r="26" spans="2:16" ht="14" customHeight="1">
      <c r="B26" s="32"/>
      <c r="G26" s="209"/>
      <c r="I26" s="91"/>
      <c r="P26" s="7">
        <f>ROW()</f>
        <v>26</v>
      </c>
    </row>
    <row r="27" spans="2:16" ht="14" customHeight="1">
      <c r="B27" s="32" t="s">
        <v>245</v>
      </c>
      <c r="G27" s="208">
        <f>$G$25*G20/1000000000</f>
        <v>64.128870000000006</v>
      </c>
      <c r="H27" s="49">
        <f>G27/$G$39</f>
        <v>6.3562527876619328E-3</v>
      </c>
      <c r="I27" s="91" t="str">
        <f>CONCATENATE("Product of Rows ",$P$25, " and ",P20, ".")</f>
        <v>Product of Rows 25 and 20.</v>
      </c>
      <c r="P27" s="7">
        <f>ROW()</f>
        <v>27</v>
      </c>
    </row>
    <row r="28" spans="2:16" ht="14" customHeight="1">
      <c r="B28" s="32" t="s">
        <v>246</v>
      </c>
      <c r="G28" s="208">
        <f>$G$25*G21/1000000000</f>
        <v>163.40181000000001</v>
      </c>
      <c r="H28" s="49">
        <f>G28/$G$39</f>
        <v>1.6195875747093399E-2</v>
      </c>
      <c r="I28" s="91" t="str">
        <f>CONCATENATE("Product of Rows ",$P$25, " and ",P21, ".")</f>
        <v>Product of Rows 25 and 21.</v>
      </c>
      <c r="P28" s="7">
        <f>ROW()</f>
        <v>28</v>
      </c>
    </row>
    <row r="29" spans="2:16" ht="14" customHeight="1">
      <c r="B29" s="32" t="s">
        <v>251</v>
      </c>
      <c r="G29" s="208">
        <f>$G$25*G22/1000000000</f>
        <v>23.187840000000001</v>
      </c>
      <c r="H29" s="49">
        <f>G29/$G$39</f>
        <v>2.298306092713919E-3</v>
      </c>
      <c r="I29" s="91" t="str">
        <f>CONCATENATE("Product of Rows ",$P$25, " and ",P22, ".")</f>
        <v>Product of Rows 25 and 22.</v>
      </c>
      <c r="P29" s="7">
        <f>ROW()</f>
        <v>29</v>
      </c>
    </row>
    <row r="30" spans="2:16" ht="14" customHeight="1">
      <c r="B30" s="32" t="s">
        <v>252</v>
      </c>
      <c r="G30" s="208">
        <f>$G$25*G23/1000000000</f>
        <v>327.89055000000002</v>
      </c>
      <c r="H30" s="49">
        <f>G30/$G$39</f>
        <v>3.249948459228276E-2</v>
      </c>
      <c r="I30" s="91" t="str">
        <f>CONCATENATE("Product of Rows ",$P$25, " and ",P23, ".")</f>
        <v>Product of Rows 25 and 23.</v>
      </c>
      <c r="P30" s="7">
        <f>ROW()</f>
        <v>30</v>
      </c>
    </row>
    <row r="31" spans="2:16" ht="14" customHeight="1">
      <c r="B31" s="32" t="s">
        <v>253</v>
      </c>
      <c r="G31" s="208">
        <f>$G$25*G24/1000000000</f>
        <v>11.95623</v>
      </c>
      <c r="H31" s="49">
        <f>G31/$G$39</f>
        <v>1.1850640790556145E-3</v>
      </c>
      <c r="I31" s="91" t="str">
        <f>CONCATENATE("Product of Rows ",$P$25, " and ",P24, ".")</f>
        <v>Product of Rows 25 and 24.</v>
      </c>
      <c r="P31" s="7">
        <f>ROW()</f>
        <v>31</v>
      </c>
    </row>
    <row r="32" spans="2:16" ht="14" customHeight="1">
      <c r="I32" s="10"/>
      <c r="P32" s="7">
        <f>ROW()</f>
        <v>32</v>
      </c>
    </row>
    <row r="33" spans="2:16" ht="14" customHeight="1">
      <c r="B33" s="32" t="s">
        <v>315</v>
      </c>
      <c r="G33" s="228">
        <v>154.71923799999999</v>
      </c>
      <c r="I33" s="91" t="s">
        <v>316</v>
      </c>
      <c r="P33" s="7">
        <f>ROW()</f>
        <v>33</v>
      </c>
    </row>
    <row r="34" spans="2:16" ht="14" customHeight="1">
      <c r="B34" s="32" t="s">
        <v>317</v>
      </c>
      <c r="G34" s="228">
        <v>22.913726</v>
      </c>
      <c r="I34" s="91" t="s">
        <v>316</v>
      </c>
      <c r="P34" s="7">
        <f>ROW()</f>
        <v>34</v>
      </c>
    </row>
    <row r="35" spans="2:16" ht="14" customHeight="1">
      <c r="B35" s="32" t="s">
        <v>318</v>
      </c>
      <c r="G35" s="221">
        <f>1-G34/G33</f>
        <v>0.85190124837610692</v>
      </c>
      <c r="I35" s="10"/>
      <c r="P35" s="7">
        <f>ROW()</f>
        <v>35</v>
      </c>
    </row>
    <row r="36" spans="2:16" ht="14" customHeight="1">
      <c r="B36" s="32" t="s">
        <v>319</v>
      </c>
      <c r="G36" s="229">
        <v>0.5</v>
      </c>
      <c r="I36" s="10"/>
      <c r="P36" s="7">
        <f>ROW()</f>
        <v>36</v>
      </c>
    </row>
    <row r="37" spans="2:16" ht="14" customHeight="1">
      <c r="I37" s="10"/>
      <c r="P37" s="7">
        <f>ROW()</f>
        <v>37</v>
      </c>
    </row>
    <row r="38" spans="2:16" ht="14" customHeight="1">
      <c r="B38" s="32" t="s">
        <v>247</v>
      </c>
      <c r="D38" s="32"/>
      <c r="G38" s="208">
        <v>10924</v>
      </c>
      <c r="I38" s="91" t="s">
        <v>248</v>
      </c>
      <c r="P38" s="7">
        <f>ROW()</f>
        <v>38</v>
      </c>
    </row>
    <row r="39" spans="2:16" ht="14" customHeight="1">
      <c r="B39" s="32" t="s">
        <v>250</v>
      </c>
      <c r="G39" s="208">
        <v>10089.1</v>
      </c>
      <c r="I39" s="91" t="s">
        <v>249</v>
      </c>
      <c r="P39" s="7">
        <f>ROW()</f>
        <v>39</v>
      </c>
    </row>
    <row r="40" spans="2:16" ht="14" customHeight="1">
      <c r="P40" s="7">
        <f>ROW()</f>
        <v>40</v>
      </c>
    </row>
    <row r="41" spans="2:16" ht="14" customHeight="1">
      <c r="B41" s="32" t="s">
        <v>299</v>
      </c>
      <c r="G41" s="208">
        <f>8989*1000*Parameters!H18*Parameters!H17*3.317/1000000000</f>
        <v>457.08714429000003</v>
      </c>
      <c r="I41" s="91" t="s">
        <v>300</v>
      </c>
      <c r="P41" s="7">
        <f>ROW()</f>
        <v>41</v>
      </c>
    </row>
    <row r="42" spans="2:16" ht="14" customHeight="1">
      <c r="B42" s="32" t="s">
        <v>301</v>
      </c>
      <c r="G42" s="221">
        <f>G30/G41</f>
        <v>0.71734800266438703</v>
      </c>
      <c r="I42" s="91" t="str">
        <f>CONCATENATE("Ratio of Row ",$P$30, " to Row ",P41, ".")</f>
        <v>Ratio of Row 30 to Row 41.</v>
      </c>
      <c r="P42" s="7">
        <f>ROW()</f>
        <v>42</v>
      </c>
    </row>
    <row r="43" spans="2:16" ht="14" customHeight="1">
      <c r="B43" s="32" t="s">
        <v>313</v>
      </c>
      <c r="G43" s="5">
        <v>0</v>
      </c>
      <c r="P43" s="7">
        <f>ROW()</f>
        <v>43</v>
      </c>
    </row>
    <row r="44" spans="2:16" ht="14" customHeight="1">
      <c r="B44" s="32" t="s">
        <v>320</v>
      </c>
      <c r="G44" s="16">
        <f>G36*G35</f>
        <v>0.42595062418805346</v>
      </c>
      <c r="I44" s="10"/>
      <c r="P44" s="7">
        <f>ROW()</f>
        <v>44</v>
      </c>
    </row>
    <row r="45" spans="2:16" ht="14" customHeight="1">
      <c r="B45" s="32" t="s">
        <v>321</v>
      </c>
      <c r="G45" s="229">
        <f>1/4</f>
        <v>0.25</v>
      </c>
      <c r="P45" s="7">
        <f>ROW()</f>
        <v>45</v>
      </c>
    </row>
  </sheetData>
  <mergeCells count="1">
    <mergeCell ref="H4:H8"/>
  </mergeCells>
  <pageMargins left="0.7" right="0.7" top="0.75" bottom="0.75" header="0.3" footer="0.3"/>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78"/>
  <sheetViews>
    <sheetView workbookViewId="0"/>
  </sheetViews>
  <sheetFormatPr baseColWidth="10" defaultColWidth="12.6640625" defaultRowHeight="15" customHeight="1" x14ac:dyDescent="0"/>
  <cols>
    <col min="1" max="1" width="2.6640625" customWidth="1"/>
  </cols>
  <sheetData>
    <row r="1" spans="2:9" ht="15" customHeight="1">
      <c r="B1" s="59" t="s">
        <v>942</v>
      </c>
      <c r="I1" s="237">
        <f>Summary!F3</f>
        <v>41674</v>
      </c>
    </row>
    <row r="2" spans="2:9" ht="15" customHeight="1">
      <c r="B2" s="32" t="s">
        <v>995</v>
      </c>
    </row>
    <row r="5" spans="2:9" ht="15" customHeight="1">
      <c r="B5" s="1" t="s">
        <v>969</v>
      </c>
    </row>
    <row r="7" spans="2:9" ht="15" customHeight="1">
      <c r="B7" s="8" t="s">
        <v>989</v>
      </c>
    </row>
    <row r="8" spans="2:9" ht="15" customHeight="1">
      <c r="B8" s="32" t="s">
        <v>990</v>
      </c>
    </row>
    <row r="10" spans="2:9" ht="15" customHeight="1">
      <c r="B10" s="32" t="s">
        <v>991</v>
      </c>
    </row>
    <row r="12" spans="2:9" ht="15" customHeight="1">
      <c r="B12" s="32" t="s">
        <v>992</v>
      </c>
    </row>
    <row r="14" spans="2:9" ht="15" customHeight="1">
      <c r="B14" s="740" t="s">
        <v>993</v>
      </c>
      <c r="C14" s="740"/>
      <c r="D14" s="740"/>
      <c r="E14" s="740"/>
      <c r="F14" s="740"/>
      <c r="G14" s="740"/>
      <c r="H14" s="740"/>
      <c r="I14" s="740"/>
    </row>
    <row r="15" spans="2:9" ht="15" customHeight="1">
      <c r="B15" s="740"/>
      <c r="C15" s="740"/>
      <c r="D15" s="740"/>
      <c r="E15" s="740"/>
      <c r="F15" s="740"/>
      <c r="G15" s="740"/>
      <c r="H15" s="740"/>
      <c r="I15" s="740"/>
    </row>
    <row r="16" spans="2:9" ht="15" customHeight="1">
      <c r="B16" s="740"/>
      <c r="C16" s="740"/>
      <c r="D16" s="740"/>
      <c r="E16" s="740"/>
      <c r="F16" s="740"/>
      <c r="G16" s="740"/>
      <c r="H16" s="740"/>
      <c r="I16" s="740"/>
    </row>
    <row r="17" spans="2:9" ht="15" customHeight="1">
      <c r="B17" s="32"/>
      <c r="C17" s="32"/>
      <c r="D17" s="32"/>
      <c r="E17" s="32"/>
      <c r="F17" s="32"/>
      <c r="G17" s="32"/>
      <c r="H17" s="32"/>
      <c r="I17" s="32"/>
    </row>
    <row r="18" spans="2:9" ht="15" customHeight="1">
      <c r="B18" s="32" t="s">
        <v>994</v>
      </c>
    </row>
    <row r="19" spans="2:9" ht="15" customHeight="1">
      <c r="B19" s="69"/>
    </row>
    <row r="20" spans="2:9" ht="15" customHeight="1">
      <c r="B20" s="8" t="s">
        <v>988</v>
      </c>
    </row>
    <row r="22" spans="2:9" ht="15" customHeight="1">
      <c r="B22" s="740" t="s">
        <v>970</v>
      </c>
      <c r="C22" s="811"/>
      <c r="D22" s="811"/>
      <c r="E22" s="811"/>
      <c r="F22" s="811"/>
      <c r="G22" s="811"/>
      <c r="H22" s="811"/>
      <c r="I22" s="811"/>
    </row>
    <row r="23" spans="2:9" ht="15" customHeight="1">
      <c r="B23" s="811"/>
      <c r="C23" s="811"/>
      <c r="D23" s="811"/>
      <c r="E23" s="811"/>
      <c r="F23" s="811"/>
      <c r="G23" s="811"/>
      <c r="H23" s="811"/>
      <c r="I23" s="811"/>
    </row>
    <row r="24" spans="2:9" ht="15" customHeight="1">
      <c r="B24" s="740" t="s">
        <v>971</v>
      </c>
      <c r="C24" s="811"/>
      <c r="D24" s="811"/>
      <c r="E24" s="811"/>
      <c r="F24" s="811"/>
      <c r="G24" s="811"/>
      <c r="H24" s="811"/>
      <c r="I24" s="811"/>
    </row>
    <row r="25" spans="2:9" ht="15" customHeight="1">
      <c r="B25" s="811"/>
      <c r="C25" s="811"/>
      <c r="D25" s="811"/>
      <c r="E25" s="811"/>
      <c r="F25" s="811"/>
      <c r="G25" s="811"/>
      <c r="H25" s="811"/>
      <c r="I25" s="811"/>
    </row>
    <row r="26" spans="2:9" ht="15" customHeight="1">
      <c r="B26" s="955"/>
      <c r="C26" s="955"/>
      <c r="D26" s="955"/>
      <c r="E26" s="955"/>
      <c r="F26" s="955"/>
      <c r="G26" s="955"/>
      <c r="H26" s="955"/>
      <c r="I26" s="955"/>
    </row>
    <row r="27" spans="2:9" ht="15" customHeight="1">
      <c r="B27" s="740" t="s">
        <v>972</v>
      </c>
      <c r="C27" s="811"/>
      <c r="D27" s="811"/>
      <c r="E27" s="811"/>
      <c r="F27" s="811"/>
      <c r="G27" s="811"/>
      <c r="H27" s="811"/>
      <c r="I27" s="811"/>
    </row>
    <row r="28" spans="2:9" ht="15" customHeight="1">
      <c r="B28" s="811"/>
      <c r="C28" s="811"/>
      <c r="D28" s="811"/>
      <c r="E28" s="811"/>
      <c r="F28" s="811"/>
      <c r="G28" s="811"/>
      <c r="H28" s="811"/>
      <c r="I28" s="811"/>
    </row>
    <row r="29" spans="2:9" ht="15" customHeight="1">
      <c r="B29" s="32"/>
    </row>
    <row r="30" spans="2:9" ht="15" customHeight="1">
      <c r="B30" s="740" t="s">
        <v>973</v>
      </c>
      <c r="C30" s="811"/>
      <c r="D30" s="811"/>
      <c r="E30" s="811"/>
      <c r="F30" s="811"/>
      <c r="G30" s="811"/>
      <c r="H30" s="811"/>
      <c r="I30" s="811"/>
    </row>
    <row r="31" spans="2:9" ht="15" customHeight="1">
      <c r="B31" s="811"/>
      <c r="C31" s="811"/>
      <c r="D31" s="811"/>
      <c r="E31" s="811"/>
      <c r="F31" s="811"/>
      <c r="G31" s="811"/>
      <c r="H31" s="811"/>
      <c r="I31" s="811"/>
    </row>
    <row r="32" spans="2:9" ht="15" customHeight="1">
      <c r="B32" s="811"/>
      <c r="C32" s="811"/>
      <c r="D32" s="811"/>
      <c r="E32" s="811"/>
      <c r="F32" s="811"/>
      <c r="G32" s="811"/>
      <c r="H32" s="811"/>
      <c r="I32" s="811"/>
    </row>
    <row r="33" spans="2:10" ht="15" customHeight="1">
      <c r="B33" s="811"/>
      <c r="C33" s="811"/>
      <c r="D33" s="811"/>
      <c r="E33" s="811"/>
      <c r="F33" s="811"/>
      <c r="G33" s="811"/>
      <c r="H33" s="811"/>
      <c r="I33" s="811"/>
    </row>
    <row r="34" spans="2:10" ht="15" customHeight="1">
      <c r="B34" s="811"/>
      <c r="C34" s="811"/>
      <c r="D34" s="811"/>
      <c r="E34" s="811"/>
      <c r="F34" s="811"/>
      <c r="G34" s="811"/>
      <c r="H34" s="811"/>
      <c r="I34" s="811"/>
    </row>
    <row r="35" spans="2:10" ht="15" customHeight="1">
      <c r="B35" s="905" t="s">
        <v>987</v>
      </c>
      <c r="C35" s="905"/>
      <c r="D35" s="905"/>
      <c r="E35" s="905"/>
      <c r="F35" s="905"/>
      <c r="G35" s="905"/>
      <c r="H35" s="905"/>
      <c r="I35" s="905"/>
    </row>
    <row r="36" spans="2:10" ht="15" customHeight="1">
      <c r="B36" s="141"/>
      <c r="C36" s="141"/>
      <c r="D36" s="141"/>
      <c r="E36" s="798" t="s">
        <v>975</v>
      </c>
      <c r="F36" s="141"/>
      <c r="G36" s="798" t="s">
        <v>985</v>
      </c>
      <c r="H36" s="798" t="s">
        <v>984</v>
      </c>
      <c r="I36" s="141"/>
    </row>
    <row r="37" spans="2:10" ht="15" customHeight="1">
      <c r="B37" s="32"/>
      <c r="D37" s="12" t="s">
        <v>974</v>
      </c>
      <c r="E37" s="911"/>
      <c r="F37" s="12" t="s">
        <v>976</v>
      </c>
      <c r="G37" s="911"/>
      <c r="H37" s="911"/>
      <c r="I37" s="12" t="s">
        <v>977</v>
      </c>
    </row>
    <row r="38" spans="2:10" ht="15" customHeight="1">
      <c r="B38" s="8" t="s">
        <v>979</v>
      </c>
      <c r="D38" s="690">
        <v>104</v>
      </c>
      <c r="E38" s="204" t="s">
        <v>981</v>
      </c>
      <c r="F38" s="705">
        <v>36982</v>
      </c>
      <c r="G38" s="706">
        <v>83.707999999999998</v>
      </c>
      <c r="H38" s="706">
        <v>106.761</v>
      </c>
      <c r="I38" s="265">
        <f>D38*H38/G38</f>
        <v>132.64137238973575</v>
      </c>
    </row>
    <row r="39" spans="2:10" ht="15" customHeight="1">
      <c r="B39" s="8" t="s">
        <v>978</v>
      </c>
      <c r="D39" s="690">
        <v>34</v>
      </c>
      <c r="E39" s="204" t="s">
        <v>982</v>
      </c>
      <c r="F39" s="705">
        <v>37165</v>
      </c>
      <c r="G39" s="706">
        <v>84.239000000000004</v>
      </c>
      <c r="H39" s="706">
        <v>106.761</v>
      </c>
      <c r="I39" s="265">
        <f>D39*H39/G39</f>
        <v>43.090183881575037</v>
      </c>
    </row>
    <row r="40" spans="2:10" ht="15" customHeight="1">
      <c r="B40" s="8" t="s">
        <v>980</v>
      </c>
      <c r="D40" s="690">
        <v>12</v>
      </c>
      <c r="E40" s="204" t="s">
        <v>983</v>
      </c>
      <c r="F40" s="705">
        <v>37347</v>
      </c>
      <c r="G40" s="706">
        <v>84.825999999999993</v>
      </c>
      <c r="H40" s="706">
        <v>106.761</v>
      </c>
      <c r="I40" s="265">
        <f>D40*H40/G40</f>
        <v>15.103058024662252</v>
      </c>
    </row>
    <row r="41" spans="2:10" ht="15" customHeight="1">
      <c r="B41" s="707" t="s">
        <v>932</v>
      </c>
      <c r="C41" s="123"/>
      <c r="D41" s="708"/>
      <c r="E41" s="173"/>
      <c r="F41" s="709"/>
      <c r="G41" s="710"/>
      <c r="H41" s="710"/>
      <c r="I41" s="711">
        <f>SUM(I38:I40)</f>
        <v>190.83461429597304</v>
      </c>
    </row>
    <row r="42" spans="2:10" ht="15" customHeight="1">
      <c r="B42" s="91" t="s">
        <v>986</v>
      </c>
    </row>
    <row r="44" spans="2:10" ht="15" customHeight="1">
      <c r="B44" s="1" t="s">
        <v>962</v>
      </c>
    </row>
    <row r="46" spans="2:10" ht="15" customHeight="1">
      <c r="B46" s="32" t="s">
        <v>963</v>
      </c>
      <c r="H46" s="690">
        <v>1187</v>
      </c>
      <c r="I46" s="32" t="s">
        <v>964</v>
      </c>
    </row>
    <row r="47" spans="2:10" ht="15" customHeight="1">
      <c r="B47" s="32" t="s">
        <v>965</v>
      </c>
    </row>
    <row r="48" spans="2:10" ht="15" customHeight="1">
      <c r="B48" s="134" t="s">
        <v>967</v>
      </c>
      <c r="H48" s="691">
        <v>1.4</v>
      </c>
      <c r="I48" s="32" t="s">
        <v>964</v>
      </c>
      <c r="J48" s="49">
        <f>H48/$H$46</f>
        <v>1.1794439764111204E-3</v>
      </c>
    </row>
    <row r="49" spans="2:10" ht="15" customHeight="1">
      <c r="B49" s="134" t="s">
        <v>966</v>
      </c>
      <c r="H49" s="691">
        <v>1.8</v>
      </c>
      <c r="I49" s="32" t="s">
        <v>964</v>
      </c>
      <c r="J49" s="49">
        <f>H49/$H$46</f>
        <v>1.5164279696714407E-3</v>
      </c>
    </row>
    <row r="51" spans="2:10" ht="15" customHeight="1">
      <c r="B51" s="702" t="s">
        <v>968</v>
      </c>
      <c r="C51" s="703"/>
      <c r="D51" s="703"/>
      <c r="E51" s="703"/>
      <c r="F51" s="703"/>
      <c r="G51" s="703"/>
      <c r="H51" s="703"/>
      <c r="I51" s="704"/>
    </row>
    <row r="52" spans="2:10" ht="15" customHeight="1">
      <c r="B52" s="692" t="s">
        <v>943</v>
      </c>
      <c r="C52" s="693"/>
      <c r="D52" s="693"/>
      <c r="E52" s="693"/>
      <c r="F52" s="693"/>
      <c r="G52" s="693"/>
      <c r="H52" s="693"/>
      <c r="I52" s="694"/>
    </row>
    <row r="53" spans="2:10" ht="15" customHeight="1">
      <c r="B53" s="695" t="s">
        <v>944</v>
      </c>
      <c r="C53" s="696"/>
      <c r="D53" s="696"/>
      <c r="E53" s="696"/>
      <c r="F53" s="696"/>
      <c r="G53" s="696"/>
      <c r="H53" s="696"/>
      <c r="I53" s="697"/>
    </row>
    <row r="54" spans="2:10" ht="15" customHeight="1">
      <c r="B54" s="695" t="s">
        <v>945</v>
      </c>
      <c r="C54" s="696"/>
      <c r="D54" s="696"/>
      <c r="E54" s="696"/>
      <c r="F54" s="696"/>
      <c r="G54" s="696"/>
      <c r="H54" s="696"/>
      <c r="I54" s="697"/>
    </row>
    <row r="55" spans="2:10" ht="15" customHeight="1">
      <c r="B55" s="695" t="s">
        <v>946</v>
      </c>
      <c r="C55" s="696"/>
      <c r="D55" s="696"/>
      <c r="E55" s="696"/>
      <c r="F55" s="696"/>
      <c r="G55" s="696"/>
      <c r="H55" s="696"/>
      <c r="I55" s="697"/>
    </row>
    <row r="56" spans="2:10" ht="15" customHeight="1">
      <c r="B56" s="698"/>
      <c r="C56" s="696"/>
      <c r="D56" s="696"/>
      <c r="E56" s="696"/>
      <c r="F56" s="696"/>
      <c r="G56" s="696"/>
      <c r="H56" s="696"/>
      <c r="I56" s="697"/>
    </row>
    <row r="57" spans="2:10" ht="15" customHeight="1">
      <c r="B57" s="695" t="s">
        <v>947</v>
      </c>
      <c r="C57" s="696"/>
      <c r="D57" s="696"/>
      <c r="E57" s="696"/>
      <c r="F57" s="696"/>
      <c r="G57" s="696"/>
      <c r="H57" s="696"/>
      <c r="I57" s="697"/>
    </row>
    <row r="58" spans="2:10" ht="15" customHeight="1">
      <c r="B58" s="695" t="s">
        <v>948</v>
      </c>
      <c r="C58" s="696"/>
      <c r="D58" s="696"/>
      <c r="E58" s="696"/>
      <c r="F58" s="696"/>
      <c r="G58" s="696"/>
      <c r="H58" s="696"/>
      <c r="I58" s="697"/>
    </row>
    <row r="59" spans="2:10" ht="15" customHeight="1">
      <c r="B59" s="695" t="s">
        <v>949</v>
      </c>
      <c r="C59" s="696"/>
      <c r="D59" s="696"/>
      <c r="E59" s="696"/>
      <c r="F59" s="696"/>
      <c r="G59" s="696"/>
      <c r="H59" s="696"/>
      <c r="I59" s="697"/>
    </row>
    <row r="60" spans="2:10" ht="15" customHeight="1">
      <c r="B60" s="695"/>
      <c r="C60" s="696"/>
      <c r="D60" s="696"/>
      <c r="E60" s="696"/>
      <c r="F60" s="696"/>
      <c r="G60" s="696"/>
      <c r="H60" s="696"/>
      <c r="I60" s="697"/>
    </row>
    <row r="61" spans="2:10" ht="15" customHeight="1">
      <c r="B61" s="695" t="s">
        <v>950</v>
      </c>
      <c r="C61" s="696"/>
      <c r="D61" s="696"/>
      <c r="E61" s="696"/>
      <c r="F61" s="696"/>
      <c r="G61" s="696"/>
      <c r="H61" s="696"/>
      <c r="I61" s="697"/>
    </row>
    <row r="62" spans="2:10" ht="15" customHeight="1">
      <c r="B62" s="695"/>
      <c r="C62" s="696"/>
      <c r="D62" s="696"/>
      <c r="E62" s="696"/>
      <c r="F62" s="696"/>
      <c r="G62" s="696"/>
      <c r="H62" s="696"/>
      <c r="I62" s="697"/>
    </row>
    <row r="63" spans="2:10" ht="15" customHeight="1">
      <c r="B63" s="951" t="s">
        <v>951</v>
      </c>
      <c r="C63" s="952"/>
      <c r="D63" s="952"/>
      <c r="E63" s="952"/>
      <c r="F63" s="952"/>
      <c r="G63" s="952"/>
      <c r="H63" s="952"/>
      <c r="I63" s="953"/>
    </row>
    <row r="64" spans="2:10" ht="15" customHeight="1">
      <c r="B64" s="954"/>
      <c r="C64" s="952"/>
      <c r="D64" s="952"/>
      <c r="E64" s="952"/>
      <c r="F64" s="952"/>
      <c r="G64" s="952"/>
      <c r="H64" s="952"/>
      <c r="I64" s="953"/>
    </row>
    <row r="65" spans="2:9" ht="15" customHeight="1">
      <c r="B65" s="951" t="s">
        <v>952</v>
      </c>
      <c r="C65" s="952"/>
      <c r="D65" s="952"/>
      <c r="E65" s="952"/>
      <c r="F65" s="952"/>
      <c r="G65" s="952"/>
      <c r="H65" s="952"/>
      <c r="I65" s="953"/>
    </row>
    <row r="66" spans="2:9" ht="15" customHeight="1">
      <c r="B66" s="954"/>
      <c r="C66" s="952"/>
      <c r="D66" s="952"/>
      <c r="E66" s="952"/>
      <c r="F66" s="952"/>
      <c r="G66" s="952"/>
      <c r="H66" s="952"/>
      <c r="I66" s="953"/>
    </row>
    <row r="67" spans="2:9" ht="15" customHeight="1">
      <c r="B67" s="695" t="s">
        <v>953</v>
      </c>
      <c r="C67" s="696"/>
      <c r="D67" s="696"/>
      <c r="E67" s="696"/>
      <c r="F67" s="696"/>
      <c r="G67" s="696"/>
      <c r="H67" s="696"/>
      <c r="I67" s="697"/>
    </row>
    <row r="68" spans="2:9" ht="15" customHeight="1">
      <c r="B68" s="951" t="s">
        <v>954</v>
      </c>
      <c r="C68" s="952"/>
      <c r="D68" s="952"/>
      <c r="E68" s="952"/>
      <c r="F68" s="952"/>
      <c r="G68" s="952"/>
      <c r="H68" s="952"/>
      <c r="I68" s="953"/>
    </row>
    <row r="69" spans="2:9" ht="15" customHeight="1">
      <c r="B69" s="954"/>
      <c r="C69" s="952"/>
      <c r="D69" s="952"/>
      <c r="E69" s="952"/>
      <c r="F69" s="952"/>
      <c r="G69" s="952"/>
      <c r="H69" s="952"/>
      <c r="I69" s="953"/>
    </row>
    <row r="70" spans="2:9" ht="15" customHeight="1">
      <c r="B70" s="695" t="s">
        <v>955</v>
      </c>
      <c r="C70" s="696"/>
      <c r="D70" s="696"/>
      <c r="E70" s="696"/>
      <c r="F70" s="696"/>
      <c r="G70" s="696"/>
      <c r="H70" s="696"/>
      <c r="I70" s="697"/>
    </row>
    <row r="71" spans="2:9" ht="15" customHeight="1">
      <c r="B71" s="695" t="s">
        <v>956</v>
      </c>
      <c r="C71" s="696"/>
      <c r="D71" s="696"/>
      <c r="E71" s="696"/>
      <c r="F71" s="696"/>
      <c r="G71" s="696"/>
      <c r="H71" s="696"/>
      <c r="I71" s="697"/>
    </row>
    <row r="72" spans="2:9" ht="15" customHeight="1">
      <c r="B72" s="951" t="s">
        <v>957</v>
      </c>
      <c r="C72" s="952"/>
      <c r="D72" s="952"/>
      <c r="E72" s="952"/>
      <c r="F72" s="952"/>
      <c r="G72" s="952"/>
      <c r="H72" s="952"/>
      <c r="I72" s="953"/>
    </row>
    <row r="73" spans="2:9" ht="15" customHeight="1">
      <c r="B73" s="954"/>
      <c r="C73" s="952"/>
      <c r="D73" s="952"/>
      <c r="E73" s="952"/>
      <c r="F73" s="952"/>
      <c r="G73" s="952"/>
      <c r="H73" s="952"/>
      <c r="I73" s="953"/>
    </row>
    <row r="74" spans="2:9" ht="15" customHeight="1">
      <c r="B74" s="695" t="s">
        <v>958</v>
      </c>
      <c r="C74" s="696"/>
      <c r="D74" s="696"/>
      <c r="E74" s="696"/>
      <c r="F74" s="696"/>
      <c r="G74" s="696"/>
      <c r="H74" s="696"/>
      <c r="I74" s="697"/>
    </row>
    <row r="75" spans="2:9" ht="15" customHeight="1">
      <c r="B75" s="695" t="s">
        <v>959</v>
      </c>
      <c r="C75" s="696"/>
      <c r="D75" s="696"/>
      <c r="E75" s="696"/>
      <c r="F75" s="696"/>
      <c r="G75" s="696"/>
      <c r="H75" s="696"/>
      <c r="I75" s="697"/>
    </row>
    <row r="76" spans="2:9" ht="15" customHeight="1">
      <c r="B76" s="699" t="s">
        <v>960</v>
      </c>
      <c r="C76" s="700"/>
      <c r="D76" s="700"/>
      <c r="E76" s="700"/>
      <c r="F76" s="700"/>
      <c r="G76" s="700"/>
      <c r="H76" s="700"/>
      <c r="I76" s="701"/>
    </row>
    <row r="77" spans="2:9" ht="15" customHeight="1">
      <c r="B77" s="3" t="s">
        <v>961</v>
      </c>
    </row>
    <row r="78" spans="2:9" ht="15" customHeight="1">
      <c r="B78" s="689"/>
    </row>
  </sheetData>
  <mergeCells count="13">
    <mergeCell ref="B14:I16"/>
    <mergeCell ref="B63:I64"/>
    <mergeCell ref="B65:I66"/>
    <mergeCell ref="B68:I69"/>
    <mergeCell ref="B72:I73"/>
    <mergeCell ref="B22:I23"/>
    <mergeCell ref="B24:I26"/>
    <mergeCell ref="B27:I28"/>
    <mergeCell ref="B30:I34"/>
    <mergeCell ref="H36:H37"/>
    <mergeCell ref="G36:G37"/>
    <mergeCell ref="E36:E37"/>
    <mergeCell ref="B35:I35"/>
  </mergeCells>
  <pageMargins left="0.7" right="0.7" top="0.75" bottom="0.75" header="0.3" footer="0.3"/>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8"/>
  <sheetViews>
    <sheetView workbookViewId="0"/>
  </sheetViews>
  <sheetFormatPr baseColWidth="10" defaultColWidth="9.6640625" defaultRowHeight="14" customHeight="1" x14ac:dyDescent="0"/>
  <cols>
    <col min="1" max="1" width="2.6640625" customWidth="1"/>
  </cols>
  <sheetData>
    <row r="1" spans="2:11" ht="14" customHeight="1">
      <c r="B1" s="59" t="s">
        <v>818</v>
      </c>
      <c r="K1" s="237">
        <f>Summary!F3</f>
        <v>41674</v>
      </c>
    </row>
    <row r="5" spans="2:11" ht="14" customHeight="1">
      <c r="B5" s="956" t="s">
        <v>337</v>
      </c>
      <c r="C5" s="957"/>
      <c r="D5" s="957"/>
      <c r="E5" s="957"/>
      <c r="F5" s="957"/>
      <c r="G5" s="957"/>
      <c r="H5" s="957"/>
      <c r="I5" s="957"/>
      <c r="J5" s="957"/>
      <c r="K5" s="958"/>
    </row>
    <row r="6" spans="2:11" ht="14" customHeight="1">
      <c r="B6" s="959"/>
      <c r="C6" s="960"/>
      <c r="D6" s="960"/>
      <c r="E6" s="960"/>
      <c r="F6" s="960"/>
      <c r="G6" s="960"/>
      <c r="H6" s="960"/>
      <c r="I6" s="960"/>
      <c r="J6" s="960"/>
      <c r="K6" s="961"/>
    </row>
    <row r="7" spans="2:11" ht="14" customHeight="1">
      <c r="B7" s="959"/>
      <c r="C7" s="960"/>
      <c r="D7" s="960"/>
      <c r="E7" s="960"/>
      <c r="F7" s="960"/>
      <c r="G7" s="960"/>
      <c r="H7" s="960"/>
      <c r="I7" s="960"/>
      <c r="J7" s="960"/>
      <c r="K7" s="961"/>
    </row>
    <row r="8" spans="2:11" ht="14" customHeight="1">
      <c r="B8" s="252" t="s">
        <v>342</v>
      </c>
      <c r="C8" s="249"/>
      <c r="D8" s="249"/>
      <c r="E8" s="249"/>
      <c r="F8" s="249"/>
      <c r="G8" s="249"/>
      <c r="H8" s="249"/>
      <c r="I8" s="249"/>
      <c r="J8" s="249"/>
      <c r="K8" s="250"/>
    </row>
    <row r="9" spans="2:11" ht="14" customHeight="1">
      <c r="B9" s="244">
        <v>1</v>
      </c>
      <c r="C9" s="247" t="s">
        <v>344</v>
      </c>
      <c r="D9" s="247"/>
      <c r="E9" s="253"/>
      <c r="F9" s="253"/>
      <c r="G9" s="253"/>
      <c r="H9" s="253"/>
      <c r="I9" s="253"/>
      <c r="J9" s="253"/>
      <c r="K9" s="254"/>
    </row>
    <row r="10" spans="2:11" ht="14" customHeight="1">
      <c r="B10" s="244">
        <v>2</v>
      </c>
      <c r="C10" s="245" t="s">
        <v>345</v>
      </c>
      <c r="D10" s="247"/>
      <c r="E10" s="253"/>
      <c r="F10" s="253"/>
      <c r="G10" s="253"/>
      <c r="H10" s="253"/>
      <c r="I10" s="253"/>
      <c r="J10" s="253"/>
      <c r="K10" s="254"/>
    </row>
    <row r="11" spans="2:11" ht="14" customHeight="1">
      <c r="B11" s="244">
        <v>3</v>
      </c>
      <c r="C11" s="247" t="s">
        <v>346</v>
      </c>
      <c r="D11" s="245"/>
      <c r="E11" s="246"/>
      <c r="F11" s="246"/>
      <c r="G11" s="253"/>
      <c r="H11" s="253"/>
      <c r="I11" s="253"/>
      <c r="J11" s="253"/>
      <c r="K11" s="254"/>
    </row>
    <row r="12" spans="2:11" ht="14" customHeight="1">
      <c r="B12" s="244">
        <v>4</v>
      </c>
      <c r="C12" s="247" t="s">
        <v>347</v>
      </c>
      <c r="D12" s="245"/>
      <c r="E12" s="246"/>
      <c r="F12" s="246"/>
      <c r="G12" s="253"/>
      <c r="H12" s="253"/>
      <c r="I12" s="253"/>
      <c r="J12" s="253"/>
      <c r="K12" s="254"/>
    </row>
    <row r="13" spans="2:11" ht="14" customHeight="1">
      <c r="B13" s="244">
        <v>5</v>
      </c>
      <c r="C13" s="245" t="s">
        <v>348</v>
      </c>
      <c r="D13" s="245"/>
      <c r="E13" s="246"/>
      <c r="F13" s="246"/>
      <c r="G13" s="249"/>
      <c r="H13" s="249"/>
      <c r="I13" s="249"/>
      <c r="J13" s="249"/>
      <c r="K13" s="250"/>
    </row>
    <row r="14" spans="2:11" ht="14" customHeight="1">
      <c r="B14" s="244">
        <v>6</v>
      </c>
      <c r="C14" s="245" t="s">
        <v>349</v>
      </c>
      <c r="D14" s="245"/>
      <c r="E14" s="246"/>
      <c r="F14" s="246"/>
      <c r="G14" s="249"/>
      <c r="H14" s="249"/>
      <c r="I14" s="249"/>
      <c r="J14" s="249"/>
      <c r="K14" s="250"/>
    </row>
    <row r="15" spans="2:11" ht="14" customHeight="1">
      <c r="B15" s="244">
        <v>7</v>
      </c>
      <c r="C15" s="248" t="s">
        <v>350</v>
      </c>
      <c r="D15" s="247"/>
      <c r="E15" s="253"/>
      <c r="F15" s="253"/>
      <c r="G15" s="249"/>
      <c r="H15" s="249"/>
      <c r="I15" s="249"/>
      <c r="J15" s="249"/>
      <c r="K15" s="250"/>
    </row>
    <row r="16" spans="2:11" ht="14" customHeight="1">
      <c r="B16" s="244"/>
      <c r="C16" s="248"/>
      <c r="D16" s="247"/>
      <c r="E16" s="253"/>
      <c r="F16" s="253"/>
      <c r="G16" s="249"/>
      <c r="H16" s="249"/>
      <c r="I16" s="249"/>
      <c r="J16" s="249"/>
      <c r="K16" s="250"/>
    </row>
    <row r="17" spans="2:11" ht="14" customHeight="1">
      <c r="B17" s="252" t="s">
        <v>343</v>
      </c>
      <c r="C17" s="249"/>
      <c r="D17" s="249"/>
      <c r="E17" s="249"/>
      <c r="F17" s="249"/>
      <c r="G17" s="249"/>
      <c r="H17" s="249"/>
      <c r="I17" s="249"/>
      <c r="J17" s="249"/>
      <c r="K17" s="250"/>
    </row>
    <row r="18" spans="2:11" ht="14" customHeight="1">
      <c r="B18" s="244">
        <v>1</v>
      </c>
      <c r="C18" s="251" t="s">
        <v>351</v>
      </c>
      <c r="D18" s="253"/>
      <c r="E18" s="253"/>
      <c r="F18" s="253"/>
      <c r="G18" s="253"/>
      <c r="H18" s="253"/>
      <c r="I18" s="253"/>
      <c r="J18" s="253"/>
      <c r="K18" s="254"/>
    </row>
    <row r="19" spans="2:11" ht="14" customHeight="1">
      <c r="B19" s="244">
        <v>2</v>
      </c>
      <c r="C19" s="245" t="s">
        <v>352</v>
      </c>
      <c r="D19" s="253"/>
      <c r="E19" s="253"/>
      <c r="F19" s="253"/>
      <c r="G19" s="253"/>
      <c r="H19" s="253"/>
      <c r="I19" s="253"/>
      <c r="J19" s="253"/>
      <c r="K19" s="254"/>
    </row>
    <row r="20" spans="2:11" ht="14" customHeight="1">
      <c r="B20" s="244">
        <v>3</v>
      </c>
      <c r="C20" s="246" t="s">
        <v>353</v>
      </c>
      <c r="D20" s="253"/>
      <c r="E20" s="253"/>
      <c r="F20" s="253"/>
      <c r="G20" s="253"/>
      <c r="H20" s="253"/>
      <c r="I20" s="253"/>
      <c r="J20" s="253"/>
      <c r="K20" s="254"/>
    </row>
    <row r="21" spans="2:11" ht="14" customHeight="1">
      <c r="B21" s="244">
        <v>4</v>
      </c>
      <c r="C21" s="245" t="s">
        <v>354</v>
      </c>
      <c r="D21" s="253"/>
      <c r="E21" s="253"/>
      <c r="F21" s="253"/>
      <c r="G21" s="249"/>
      <c r="H21" s="249"/>
      <c r="I21" s="249"/>
      <c r="J21" s="249"/>
      <c r="K21" s="250"/>
    </row>
    <row r="22" spans="2:11" ht="14" customHeight="1">
      <c r="B22" s="244">
        <v>5</v>
      </c>
      <c r="C22" s="245" t="s">
        <v>355</v>
      </c>
      <c r="D22" s="253"/>
      <c r="E22" s="253"/>
      <c r="F22" s="253"/>
      <c r="G22" s="249"/>
      <c r="H22" s="249"/>
      <c r="I22" s="249"/>
      <c r="J22" s="249"/>
      <c r="K22" s="250"/>
    </row>
    <row r="23" spans="2:11" ht="14" customHeight="1">
      <c r="B23" s="244">
        <v>6</v>
      </c>
      <c r="C23" s="248" t="s">
        <v>356</v>
      </c>
      <c r="D23" s="253"/>
      <c r="E23" s="253"/>
      <c r="F23" s="253"/>
      <c r="G23" s="249"/>
      <c r="H23" s="249"/>
      <c r="I23" s="249"/>
      <c r="J23" s="249"/>
      <c r="K23" s="250"/>
    </row>
    <row r="24" spans="2:11" ht="14" customHeight="1">
      <c r="B24" s="244"/>
      <c r="C24" s="248"/>
      <c r="D24" s="253"/>
      <c r="E24" s="253"/>
      <c r="F24" s="253"/>
      <c r="G24" s="249"/>
      <c r="H24" s="249"/>
      <c r="I24" s="249"/>
      <c r="J24" s="249"/>
      <c r="K24" s="250"/>
    </row>
    <row r="25" spans="2:11" ht="14" customHeight="1">
      <c r="B25" s="255" t="s">
        <v>336</v>
      </c>
      <c r="C25" s="256"/>
      <c r="D25" s="257"/>
      <c r="E25" s="257"/>
      <c r="F25" s="257"/>
      <c r="G25" s="568"/>
      <c r="H25" s="568"/>
      <c r="I25" s="568"/>
      <c r="J25" s="568"/>
      <c r="K25" s="569"/>
    </row>
    <row r="27" spans="2:11" ht="14" customHeight="1">
      <c r="B27" s="962" t="s">
        <v>453</v>
      </c>
      <c r="C27" s="963"/>
      <c r="D27" s="963"/>
      <c r="E27" s="963"/>
      <c r="F27" s="963"/>
      <c r="G27" s="963"/>
      <c r="H27" s="963"/>
      <c r="I27" s="963"/>
      <c r="J27" s="963"/>
      <c r="K27" s="964"/>
    </row>
    <row r="28" spans="2:11" ht="14" customHeight="1">
      <c r="B28" s="965"/>
      <c r="C28" s="966"/>
      <c r="D28" s="966"/>
      <c r="E28" s="966"/>
      <c r="F28" s="966"/>
      <c r="G28" s="966"/>
      <c r="H28" s="966"/>
      <c r="I28" s="966"/>
      <c r="J28" s="966"/>
      <c r="K28" s="967"/>
    </row>
  </sheetData>
  <mergeCells count="2">
    <mergeCell ref="B5:K7"/>
    <mergeCell ref="B27:K28"/>
  </mergeCells>
  <pageMargins left="0.7" right="0.7" top="0.75" bottom="0.75" header="0.3" footer="0.3"/>
  <pageSetup orientation="portrait" verticalDpi="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157"/>
  <sheetViews>
    <sheetView workbookViewId="0"/>
  </sheetViews>
  <sheetFormatPr baseColWidth="10" defaultColWidth="12.6640625" defaultRowHeight="15" customHeight="1" x14ac:dyDescent="0"/>
  <cols>
    <col min="1" max="1" width="2.6640625" customWidth="1"/>
    <col min="5" max="5" width="12.6640625" customWidth="1"/>
    <col min="13" max="13" width="2.6640625" customWidth="1"/>
  </cols>
  <sheetData>
    <row r="1" spans="2:13" ht="15" customHeight="1">
      <c r="B1" s="59" t="s">
        <v>996</v>
      </c>
      <c r="J1" s="237">
        <f>Summary!F3</f>
        <v>41674</v>
      </c>
      <c r="M1" s="6">
        <f>ROW()</f>
        <v>1</v>
      </c>
    </row>
    <row r="2" spans="2:13" ht="15" customHeight="1">
      <c r="M2" s="6">
        <f>ROW()</f>
        <v>2</v>
      </c>
    </row>
    <row r="3" spans="2:13" ht="15" customHeight="1">
      <c r="B3" s="810" t="s">
        <v>1063</v>
      </c>
      <c r="C3" s="811"/>
      <c r="D3" s="811"/>
      <c r="E3" s="811"/>
      <c r="F3" s="811"/>
      <c r="G3" s="811"/>
      <c r="H3" s="811"/>
      <c r="I3" s="811"/>
      <c r="M3" s="6">
        <f>ROW()</f>
        <v>3</v>
      </c>
    </row>
    <row r="4" spans="2:13" ht="15" customHeight="1">
      <c r="B4" s="811"/>
      <c r="C4" s="811"/>
      <c r="D4" s="811"/>
      <c r="E4" s="811"/>
      <c r="F4" s="811"/>
      <c r="G4" s="811"/>
      <c r="H4" s="811"/>
      <c r="I4" s="811"/>
      <c r="M4" s="6">
        <f>ROW()</f>
        <v>4</v>
      </c>
    </row>
    <row r="5" spans="2:13" ht="15" customHeight="1">
      <c r="B5" s="811"/>
      <c r="C5" s="811"/>
      <c r="D5" s="811"/>
      <c r="E5" s="811"/>
      <c r="F5" s="811"/>
      <c r="G5" s="811"/>
      <c r="H5" s="811"/>
      <c r="I5" s="811"/>
      <c r="M5" s="6">
        <f>ROW()</f>
        <v>5</v>
      </c>
    </row>
    <row r="6" spans="2:13" ht="15" customHeight="1">
      <c r="B6" s="811"/>
      <c r="C6" s="811"/>
      <c r="D6" s="811"/>
      <c r="E6" s="811"/>
      <c r="F6" s="811"/>
      <c r="G6" s="811"/>
      <c r="H6" s="811"/>
      <c r="I6" s="811"/>
      <c r="M6" s="6">
        <f>ROW()</f>
        <v>6</v>
      </c>
    </row>
    <row r="7" spans="2:13" ht="15" customHeight="1">
      <c r="B7" s="810" t="s">
        <v>1064</v>
      </c>
      <c r="C7" s="811"/>
      <c r="D7" s="811"/>
      <c r="E7" s="811"/>
      <c r="F7" s="811"/>
      <c r="G7" s="811"/>
      <c r="H7" s="811"/>
      <c r="I7" s="811"/>
      <c r="M7" s="6">
        <f>ROW()</f>
        <v>7</v>
      </c>
    </row>
    <row r="8" spans="2:13" ht="15" customHeight="1">
      <c r="B8" s="811"/>
      <c r="C8" s="811"/>
      <c r="D8" s="811"/>
      <c r="E8" s="811"/>
      <c r="F8" s="811"/>
      <c r="G8" s="811"/>
      <c r="H8" s="811"/>
      <c r="I8" s="811"/>
      <c r="M8" s="6">
        <f>ROW()</f>
        <v>8</v>
      </c>
    </row>
    <row r="9" spans="2:13" ht="15" customHeight="1">
      <c r="B9" s="719"/>
      <c r="C9" s="719"/>
      <c r="D9" s="719"/>
      <c r="E9" s="719"/>
      <c r="F9" s="719"/>
      <c r="G9" s="719"/>
      <c r="H9" s="719"/>
      <c r="I9" s="719"/>
      <c r="M9" s="6">
        <f>ROW()</f>
        <v>9</v>
      </c>
    </row>
    <row r="10" spans="2:13" ht="15" customHeight="1">
      <c r="B10" s="8" t="s">
        <v>1009</v>
      </c>
      <c r="C10" s="182"/>
      <c r="D10" s="182"/>
      <c r="E10" s="182"/>
      <c r="F10" s="182"/>
      <c r="G10" s="182"/>
      <c r="H10" s="182"/>
      <c r="I10" s="182"/>
      <c r="M10" s="6">
        <f>ROW()</f>
        <v>10</v>
      </c>
    </row>
    <row r="11" spans="2:13" ht="15" customHeight="1">
      <c r="B11" s="8"/>
      <c r="C11" s="182"/>
      <c r="D11" s="182"/>
      <c r="E11" s="182"/>
      <c r="F11" s="182"/>
      <c r="G11" s="182"/>
      <c r="H11" s="182"/>
      <c r="I11" s="182"/>
      <c r="M11" s="6">
        <f>ROW()</f>
        <v>11</v>
      </c>
    </row>
    <row r="12" spans="2:13" ht="15" customHeight="1">
      <c r="B12" s="32" t="s">
        <v>997</v>
      </c>
      <c r="M12" s="6">
        <f>ROW()</f>
        <v>12</v>
      </c>
    </row>
    <row r="13" spans="2:13" ht="15" customHeight="1">
      <c r="B13" s="815" t="s">
        <v>998</v>
      </c>
      <c r="C13" s="738"/>
      <c r="D13" s="738"/>
      <c r="E13" s="738"/>
      <c r="F13" s="738"/>
      <c r="G13" s="738"/>
      <c r="H13" s="738"/>
      <c r="I13" s="738"/>
      <c r="M13" s="6">
        <f>ROW()</f>
        <v>13</v>
      </c>
    </row>
    <row r="14" spans="2:13" ht="15" customHeight="1">
      <c r="B14" s="815"/>
      <c r="C14" s="738"/>
      <c r="D14" s="738"/>
      <c r="E14" s="738"/>
      <c r="F14" s="738"/>
      <c r="G14" s="738"/>
      <c r="H14" s="738"/>
      <c r="I14" s="738"/>
      <c r="M14" s="6">
        <f>ROW()</f>
        <v>14</v>
      </c>
    </row>
    <row r="15" spans="2:13" ht="15" customHeight="1">
      <c r="B15" s="815"/>
      <c r="C15" s="738"/>
      <c r="D15" s="738"/>
      <c r="E15" s="738"/>
      <c r="F15" s="738"/>
      <c r="G15" s="738"/>
      <c r="H15" s="738"/>
      <c r="I15" s="738"/>
      <c r="M15" s="6">
        <f>ROW()</f>
        <v>15</v>
      </c>
    </row>
    <row r="16" spans="2:13" ht="15" customHeight="1">
      <c r="B16" s="815"/>
      <c r="C16" s="738"/>
      <c r="D16" s="738"/>
      <c r="E16" s="738"/>
      <c r="F16" s="738"/>
      <c r="G16" s="738"/>
      <c r="H16" s="738"/>
      <c r="I16" s="738"/>
      <c r="M16" s="6">
        <f>ROW()</f>
        <v>16</v>
      </c>
    </row>
    <row r="17" spans="2:13" ht="15" customHeight="1">
      <c r="B17" s="738"/>
      <c r="C17" s="738"/>
      <c r="D17" s="738"/>
      <c r="E17" s="738"/>
      <c r="F17" s="738"/>
      <c r="G17" s="738"/>
      <c r="H17" s="738"/>
      <c r="I17" s="738"/>
      <c r="M17" s="6">
        <f>ROW()</f>
        <v>17</v>
      </c>
    </row>
    <row r="18" spans="2:13" ht="15" customHeight="1">
      <c r="B18" s="32" t="s">
        <v>1001</v>
      </c>
      <c r="I18" s="22">
        <v>4054484.9890000001</v>
      </c>
      <c r="M18" s="6">
        <f>ROW()</f>
        <v>18</v>
      </c>
    </row>
    <row r="19" spans="2:13" ht="15" customHeight="1">
      <c r="B19" s="91" t="s">
        <v>999</v>
      </c>
      <c r="M19" s="6">
        <f>ROW()</f>
        <v>19</v>
      </c>
    </row>
    <row r="20" spans="2:13" ht="15" customHeight="1">
      <c r="B20" s="32" t="s">
        <v>1000</v>
      </c>
      <c r="I20" s="66">
        <f>Emissions!N40</f>
        <v>2035.4943018923852</v>
      </c>
      <c r="M20" s="6">
        <f>ROW()</f>
        <v>20</v>
      </c>
    </row>
    <row r="21" spans="2:13" ht="15" customHeight="1">
      <c r="B21" s="91" t="str">
        <f>CONCATENATE("From 'Emissions' tab, Row ",Emissions!Q40, ".")</f>
        <v>From 'Emissions' tab, Row 40.</v>
      </c>
      <c r="M21" s="6">
        <f>ROW()</f>
        <v>21</v>
      </c>
    </row>
    <row r="22" spans="2:13" ht="15" customHeight="1">
      <c r="B22" s="32" t="s">
        <v>1002</v>
      </c>
      <c r="I22" s="23">
        <f>I20*1000/I18</f>
        <v>0.50203522948408319</v>
      </c>
      <c r="M22" s="6">
        <f>ROW()</f>
        <v>22</v>
      </c>
    </row>
    <row r="23" spans="2:13" ht="15" customHeight="1">
      <c r="B23" s="91" t="str">
        <f>CONCATENATE("Ratio of Row ",M20," to Row ",M18, ", times 1,000.")</f>
        <v>Ratio of Row 20 to Row 18, times 1,000.</v>
      </c>
      <c r="M23" s="6">
        <f>ROW()</f>
        <v>23</v>
      </c>
    </row>
    <row r="24" spans="2:13" ht="15" customHeight="1">
      <c r="B24" s="32" t="s">
        <v>1003</v>
      </c>
      <c r="I24" s="4">
        <v>0.25</v>
      </c>
      <c r="M24" s="6">
        <f>ROW()</f>
        <v>24</v>
      </c>
    </row>
    <row r="25" spans="2:13" ht="15" customHeight="1">
      <c r="B25" s="91" t="s">
        <v>1004</v>
      </c>
      <c r="M25" s="6">
        <f>ROW()</f>
        <v>25</v>
      </c>
    </row>
    <row r="26" spans="2:13" ht="15" customHeight="1">
      <c r="B26" s="32" t="s">
        <v>1005</v>
      </c>
      <c r="I26" s="23">
        <f>I22*(1-I24)</f>
        <v>0.37652642211306242</v>
      </c>
      <c r="M26" s="6">
        <f>ROW()</f>
        <v>26</v>
      </c>
    </row>
    <row r="27" spans="2:13" ht="15" customHeight="1">
      <c r="B27" s="91" t="str">
        <f>CONCATENATE("Product of Row ",M22," and complement of Row ",M24, ".")</f>
        <v>Product of Row 22 and complement of Row 24.</v>
      </c>
      <c r="M27" s="6">
        <f>ROW()</f>
        <v>27</v>
      </c>
    </row>
    <row r="28" spans="2:13" ht="15" customHeight="1">
      <c r="B28" s="32" t="s">
        <v>1006</v>
      </c>
      <c r="I28" s="22">
        <f>I26*1000</f>
        <v>376.52642211306244</v>
      </c>
      <c r="M28" s="6">
        <f>ROW()</f>
        <v>28</v>
      </c>
    </row>
    <row r="29" spans="2:13" ht="15" customHeight="1">
      <c r="B29" s="91" t="str">
        <f>CONCATENATE("1,000 times Row ",M26, ".")</f>
        <v>1,000 times Row 26.</v>
      </c>
      <c r="M29" s="6">
        <f>ROW()</f>
        <v>29</v>
      </c>
    </row>
    <row r="30" spans="2:13" ht="15" customHeight="1">
      <c r="B30" s="32" t="s">
        <v>1007</v>
      </c>
      <c r="I30" s="713">
        <v>2.3E-2</v>
      </c>
      <c r="M30" s="6">
        <f>ROW()</f>
        <v>30</v>
      </c>
    </row>
    <row r="31" spans="2:13" ht="15" customHeight="1">
      <c r="B31" s="91" t="s">
        <v>1004</v>
      </c>
      <c r="M31" s="6">
        <f>ROW()</f>
        <v>31</v>
      </c>
    </row>
    <row r="32" spans="2:13" ht="15" customHeight="1">
      <c r="B32" s="32" t="s">
        <v>1008</v>
      </c>
      <c r="I32" s="712">
        <f>I30/I28*1000000</f>
        <v>61.084690606635867</v>
      </c>
      <c r="M32" s="6">
        <f>ROW()</f>
        <v>32</v>
      </c>
    </row>
    <row r="33" spans="2:20" ht="15" customHeight="1">
      <c r="B33" s="91" t="str">
        <f>CONCATENATE("Ratio of Row ",M30," to Row ",M28, ", times 1,000,000.")</f>
        <v>Ratio of Row 30 to Row 28, times 1,000,000.</v>
      </c>
      <c r="M33" s="6">
        <f>ROW()</f>
        <v>33</v>
      </c>
    </row>
    <row r="34" spans="2:20" ht="15" customHeight="1">
      <c r="M34" s="6">
        <f>ROW()</f>
        <v>34</v>
      </c>
    </row>
    <row r="35" spans="2:20" ht="15" customHeight="1">
      <c r="B35" s="8" t="s">
        <v>1053</v>
      </c>
      <c r="M35" s="6">
        <f>ROW()</f>
        <v>35</v>
      </c>
    </row>
    <row r="36" spans="2:20" ht="15" customHeight="1">
      <c r="B36" s="8"/>
      <c r="M36" s="6">
        <f>ROW()</f>
        <v>36</v>
      </c>
    </row>
    <row r="37" spans="2:20" ht="15" customHeight="1">
      <c r="B37" s="32" t="s">
        <v>1013</v>
      </c>
      <c r="I37" s="21">
        <f>'Personal Ground Travel'!K28</f>
        <v>19.570435014151581</v>
      </c>
      <c r="M37" s="6">
        <f>ROW()</f>
        <v>37</v>
      </c>
    </row>
    <row r="38" spans="2:20" ht="15" customHeight="1">
      <c r="B38" s="91" t="str">
        <f>CONCATENATE("From 'Personal Ground Travel' tab, Row ",'Personal Ground Travel'!AP28, ".")</f>
        <v>From 'Personal Ground Travel' tab, Row 28.</v>
      </c>
      <c r="M38" s="6">
        <f>ROW()</f>
        <v>38</v>
      </c>
    </row>
    <row r="39" spans="2:20" ht="15" customHeight="1">
      <c r="B39" s="32" t="s">
        <v>1014</v>
      </c>
      <c r="I39" s="21">
        <f>I37*Parameters!$H$16/1000</f>
        <v>8.8770000000000007</v>
      </c>
      <c r="M39" s="6">
        <f>ROW()</f>
        <v>39</v>
      </c>
    </row>
    <row r="40" spans="2:20" ht="15" customHeight="1">
      <c r="B40" s="91" t="str">
        <f>CONCATENATE("Row ",M37, " multiplied by conversion constant in 'Parameters' tab, Cell H",Parameters!O16, " and divided by 1,000.")</f>
        <v>Row 37 multiplied by conversion constant in 'Parameters' tab, Cell H16 and divided by 1,000.</v>
      </c>
      <c r="M40" s="6">
        <f>ROW()</f>
        <v>40</v>
      </c>
    </row>
    <row r="41" spans="2:20" ht="15" customHeight="1">
      <c r="B41" s="32" t="s">
        <v>1012</v>
      </c>
      <c r="I41" s="712">
        <v>1</v>
      </c>
      <c r="M41" s="6">
        <f>ROW()</f>
        <v>41</v>
      </c>
    </row>
    <row r="42" spans="2:20" ht="15" customHeight="1">
      <c r="B42" s="91" t="s">
        <v>1010</v>
      </c>
      <c r="M42" s="6">
        <f>ROW()</f>
        <v>42</v>
      </c>
    </row>
    <row r="43" spans="2:20" ht="15" customHeight="1">
      <c r="B43" s="32" t="s">
        <v>1008</v>
      </c>
      <c r="I43" s="712">
        <f>I41*1000/I39</f>
        <v>112.65067027148811</v>
      </c>
      <c r="M43" s="6">
        <f>ROW()</f>
        <v>43</v>
      </c>
    </row>
    <row r="44" spans="2:20" ht="15" customHeight="1">
      <c r="B44" s="91" t="str">
        <f>CONCATENATE("Row ",M41, " divided by Row ",M39, ", multiplied by 1,000.")</f>
        <v>Row 41 divided by Row 39, multiplied by 1,000.</v>
      </c>
      <c r="M44" s="6">
        <f>ROW()</f>
        <v>44</v>
      </c>
    </row>
    <row r="45" spans="2:20" ht="15" customHeight="1">
      <c r="B45" s="91"/>
      <c r="M45" s="6">
        <f>ROW()</f>
        <v>45</v>
      </c>
    </row>
    <row r="46" spans="2:20" ht="15" customHeight="1">
      <c r="B46" s="8" t="s">
        <v>1019</v>
      </c>
      <c r="M46" s="6">
        <f>ROW()</f>
        <v>46</v>
      </c>
    </row>
    <row r="47" spans="2:20" ht="15" customHeight="1">
      <c r="E47" s="12"/>
      <c r="F47" s="798" t="s">
        <v>158</v>
      </c>
      <c r="G47" s="12"/>
      <c r="H47" s="12"/>
      <c r="I47" s="798" t="s">
        <v>885</v>
      </c>
      <c r="J47" s="798" t="s">
        <v>1015</v>
      </c>
      <c r="M47" s="6">
        <f>ROW()</f>
        <v>47</v>
      </c>
      <c r="N47" s="723" t="s">
        <v>1066</v>
      </c>
      <c r="O47" s="571"/>
      <c r="P47" s="571"/>
      <c r="Q47" s="571"/>
      <c r="R47" s="571"/>
      <c r="S47" s="571"/>
      <c r="T47" s="451"/>
    </row>
    <row r="48" spans="2:20" ht="15" customHeight="1">
      <c r="E48" s="12" t="s">
        <v>107</v>
      </c>
      <c r="F48" s="798"/>
      <c r="G48" s="12" t="s">
        <v>163</v>
      </c>
      <c r="H48" s="12" t="s">
        <v>11</v>
      </c>
      <c r="I48" s="798"/>
      <c r="J48" s="798"/>
      <c r="K48" s="12" t="s">
        <v>932</v>
      </c>
      <c r="M48" s="6">
        <f>ROW()</f>
        <v>48</v>
      </c>
      <c r="N48" s="724" t="str">
        <f>E48</f>
        <v>Electricity</v>
      </c>
      <c r="O48" s="661" t="str">
        <f>F47</f>
        <v>Personal Ground Travel</v>
      </c>
      <c r="P48" s="661" t="str">
        <f>G48</f>
        <v>Freight</v>
      </c>
      <c r="Q48" s="661" t="str">
        <f>H48</f>
        <v>Aviation</v>
      </c>
      <c r="R48" s="661" t="str">
        <f>I47</f>
        <v>Other Petroleum</v>
      </c>
      <c r="S48" s="661" t="str">
        <f>J47</f>
        <v>Other Natural Gas</v>
      </c>
      <c r="T48" s="725"/>
    </row>
    <row r="49" spans="2:13" ht="15" customHeight="1">
      <c r="K49" s="731"/>
      <c r="L49" s="807" t="s">
        <v>1076</v>
      </c>
      <c r="M49" s="6">
        <f>ROW()</f>
        <v>49</v>
      </c>
    </row>
    <row r="50" spans="2:13" ht="15" customHeight="1">
      <c r="B50" s="32" t="s">
        <v>1016</v>
      </c>
      <c r="E50" s="73">
        <f>I32</f>
        <v>61.084690606635867</v>
      </c>
      <c r="F50" s="73">
        <f>I43</f>
        <v>112.65067027148811</v>
      </c>
      <c r="G50" s="73">
        <f>I43</f>
        <v>112.65067027148811</v>
      </c>
      <c r="H50" s="73">
        <f>I43</f>
        <v>112.65067027148811</v>
      </c>
      <c r="I50" s="73">
        <f>AVERAGE($E$50:$F$50)</f>
        <v>86.867680439061985</v>
      </c>
      <c r="J50" s="73">
        <f>AVERAGE($E$50:$F$50)</f>
        <v>86.867680439061985</v>
      </c>
      <c r="K50" s="732">
        <f>SUMPRODUCT(E50:J50,E53:J53)/K53</f>
        <v>85.995450936511702</v>
      </c>
      <c r="L50" s="808"/>
      <c r="M50" s="6">
        <f>ROW()</f>
        <v>50</v>
      </c>
    </row>
    <row r="51" spans="2:13" ht="15" customHeight="1">
      <c r="B51" s="91" t="str">
        <f>CONCATENATE("Electricity rate derived in Row ",M32, ". Rate for three transportation sectors derived in Row ",M43, ". 'Other' sectors rate is average of prior two.")</f>
        <v>Electricity rate derived in Row 32. Rate for three transportation sectors derived in Row 43. 'Other' sectors rate is average of prior two.</v>
      </c>
      <c r="K51" s="733">
        <f>K50*Parameters!H15/Parameters!H14</f>
        <v>78.000409012709028</v>
      </c>
      <c r="L51" s="730" t="s">
        <v>1077</v>
      </c>
      <c r="M51" s="6">
        <f>ROW()</f>
        <v>51</v>
      </c>
    </row>
    <row r="52" spans="2:13" ht="15" customHeight="1">
      <c r="B52" s="8" t="s">
        <v>1030</v>
      </c>
      <c r="M52" s="6">
        <f>ROW()</f>
        <v>52</v>
      </c>
    </row>
    <row r="53" spans="2:13" ht="15" customHeight="1">
      <c r="B53" s="32" t="s">
        <v>1017</v>
      </c>
      <c r="E53" s="22">
        <f>Summary!P121</f>
        <v>2035.4943018923852</v>
      </c>
      <c r="F53" s="22">
        <f>Summary!P122</f>
        <v>1184.1450943945235</v>
      </c>
      <c r="G53" s="22">
        <f>Summary!P123</f>
        <v>467.46444589680084</v>
      </c>
      <c r="H53" s="22">
        <f>Summary!P124</f>
        <v>207.27186784784001</v>
      </c>
      <c r="I53" s="22">
        <f>Summary!P125</f>
        <v>799.99115607948818</v>
      </c>
      <c r="J53" s="22">
        <f>Summary!P126</f>
        <v>526.28713676369762</v>
      </c>
      <c r="K53" s="38">
        <f>SUM(E53:J53)</f>
        <v>5220.6540028747349</v>
      </c>
      <c r="M53" s="6">
        <f>ROW()</f>
        <v>53</v>
      </c>
    </row>
    <row r="54" spans="2:13" ht="15" customHeight="1">
      <c r="B54" s="32" t="s">
        <v>1031</v>
      </c>
      <c r="E54" s="22">
        <f>Electricity!G110</f>
        <v>625.05918374198609</v>
      </c>
      <c r="F54" s="22">
        <f>'Personal Ground Travel'!G102</f>
        <v>141.96636801945988</v>
      </c>
      <c r="G54" s="22">
        <f>Freight!G107</f>
        <v>64.098355744207765</v>
      </c>
      <c r="H54" s="22">
        <f>Aviation!G107</f>
        <v>23.563222567647358</v>
      </c>
      <c r="I54" s="22">
        <f>Other_Petrol!G111</f>
        <v>89.140700192960367</v>
      </c>
      <c r="J54" s="22">
        <f>Summary!P135-Summary!Z135</f>
        <v>14.964500885669963</v>
      </c>
      <c r="K54" s="38">
        <f>SUM(E54:J54)</f>
        <v>958.79233115193142</v>
      </c>
      <c r="M54" s="6">
        <f>ROW()</f>
        <v>54</v>
      </c>
    </row>
    <row r="55" spans="2:13" ht="15" customHeight="1">
      <c r="B55" s="91" t="str">
        <f>CONCATENATE("Figures for first five sectors are from respective tabs -- Rows ",Electricity!AP110, ",",'Personal Ground Travel'!AP102, ", ",Freight!AP107,", ",Aviation!AP107,", and ",Other_Petrol!AP111,". Last sector is from 'Summary' tab, Row ",Summary!AO135, ".")</f>
        <v>Figures for first five sectors are from respective tabs -- Rows 110,102, 107, 107, and 111. Last sector is from 'Summary' tab, Row 135.</v>
      </c>
      <c r="E55" s="22"/>
      <c r="F55" s="22"/>
      <c r="G55" s="22"/>
      <c r="H55" s="22"/>
      <c r="I55" s="22"/>
      <c r="J55" s="22"/>
      <c r="K55" s="38"/>
      <c r="M55" s="6">
        <f>ROW()</f>
        <v>55</v>
      </c>
    </row>
    <row r="56" spans="2:13" ht="15" customHeight="1">
      <c r="B56" s="32" t="s">
        <v>1034</v>
      </c>
      <c r="E56" s="22">
        <f>Electricity!G113</f>
        <v>380.01657099601886</v>
      </c>
      <c r="F56" s="22">
        <f>'Personal Ground Travel'!G105</f>
        <v>61.840607495264543</v>
      </c>
      <c r="G56" s="22">
        <f>Freight!G110</f>
        <v>23.297579504791724</v>
      </c>
      <c r="H56" s="22">
        <f>Aviation!G110</f>
        <v>0.72345804337013886</v>
      </c>
      <c r="I56" s="22"/>
      <c r="J56" s="22"/>
      <c r="K56" s="38">
        <f>SUM(E56:J56)</f>
        <v>465.87821603944525</v>
      </c>
      <c r="M56" s="6">
        <f>ROW()</f>
        <v>56</v>
      </c>
    </row>
    <row r="57" spans="2:13" ht="15" customHeight="1">
      <c r="B57" s="91" t="str">
        <f>CONCATENATE("Figures for first four sectors are from respective tabs -- Rows ",Electricity!AP113, ",",'Personal Ground Travel'!AP105, ",",Freight!AP110,", and ",Aviation!AP110,". Last two sectors are hard-wired as zero, since clean-energy credits don't apply.")</f>
        <v>Figures for first four sectors are from respective tabs -- Rows 113,105,110, and 110. Last two sectors are hard-wired as zero, since clean-energy credits don't apply.</v>
      </c>
      <c r="C57" s="91"/>
      <c r="D57" s="91"/>
      <c r="E57" s="91"/>
      <c r="F57" s="91"/>
      <c r="G57" s="91"/>
      <c r="H57" s="91"/>
      <c r="I57" s="22"/>
      <c r="J57" s="91"/>
      <c r="K57" s="91"/>
      <c r="M57" s="6">
        <f>ROW()</f>
        <v>57</v>
      </c>
    </row>
    <row r="58" spans="2:13" ht="15" customHeight="1">
      <c r="B58" s="32" t="s">
        <v>1032</v>
      </c>
      <c r="E58" s="22">
        <f>Electricity!G112</f>
        <v>245.04261274596723</v>
      </c>
      <c r="F58" s="22">
        <f>'Personal Ground Travel'!G104</f>
        <v>80.125760524195343</v>
      </c>
      <c r="G58" s="22">
        <f>Freight!G109</f>
        <v>40.800776239416038</v>
      </c>
      <c r="H58" s="22">
        <f>Aviation!G109</f>
        <v>22.839764524277218</v>
      </c>
      <c r="I58" s="22">
        <f>Other_Petrol!G113</f>
        <v>54.603591900110651</v>
      </c>
      <c r="J58" s="22">
        <f>J54</f>
        <v>14.964500885669963</v>
      </c>
      <c r="K58" s="38">
        <f>SUM(E58:J58)</f>
        <v>458.37700681963645</v>
      </c>
      <c r="M58" s="6">
        <f>ROW()</f>
        <v>58</v>
      </c>
    </row>
    <row r="59" spans="2:13" ht="15" customHeight="1">
      <c r="B59" s="91" t="str">
        <f>CONCATENATE("Figures for first five sectors are from respective tabs -- Rows ",Electricity!AP112, ",",'Personal Ground Travel'!AP104, ", ",Freight!AP109,", ",Aviation!AP109,", and ",Other_Petrol!AP113,". Last sector replicates Row ",M54, " since entire reduction in that sector is demand-side.")</f>
        <v>Figures for first five sectors are from respective tabs -- Rows 112,104, 109, 109, and 113. Last sector replicates Row 54 since entire reduction in that sector is demand-side.</v>
      </c>
      <c r="E59" s="22"/>
      <c r="F59" s="22"/>
      <c r="G59" s="22"/>
      <c r="H59" s="22"/>
      <c r="I59" s="22"/>
      <c r="J59" s="22"/>
      <c r="K59" s="38"/>
      <c r="M59" s="6">
        <f>ROW()</f>
        <v>59</v>
      </c>
    </row>
    <row r="60" spans="2:13" ht="15" customHeight="1">
      <c r="B60" s="32" t="s">
        <v>1033</v>
      </c>
      <c r="E60" s="38">
        <f>E58</f>
        <v>245.04261274596723</v>
      </c>
      <c r="F60" s="38">
        <f>F58</f>
        <v>80.125760524195343</v>
      </c>
      <c r="G60" s="38">
        <f>G58</f>
        <v>40.800776239416038</v>
      </c>
      <c r="H60" s="38">
        <f>H58</f>
        <v>22.839764524277218</v>
      </c>
      <c r="I60" s="38">
        <f>I54</f>
        <v>89.140700192960367</v>
      </c>
      <c r="J60" s="38">
        <f>J58</f>
        <v>14.964500885669963</v>
      </c>
      <c r="K60" s="38">
        <f>SUM(E60:J60)</f>
        <v>492.91411511248617</v>
      </c>
      <c r="M60" s="6">
        <f>ROW()</f>
        <v>60</v>
      </c>
    </row>
    <row r="61" spans="2:13" ht="15" customHeight="1">
      <c r="B61" s="91" t="str">
        <f>CONCATENATE("Figures replicate Row ",61, " except next-to-last sector replicates Row ",M54, " since supply-side reductions from 'Other Petrol' wouldn't be captured in clean-energy credits.")</f>
        <v>Figures replicate Row 61 except next-to-last sector replicates Row 54 since supply-side reductions from 'Other Petrol' wouldn't be captured in clean-energy credits.</v>
      </c>
      <c r="M61" s="6">
        <f>ROW()</f>
        <v>61</v>
      </c>
    </row>
    <row r="62" spans="2:13" ht="15" customHeight="1">
      <c r="B62" s="91"/>
      <c r="C62" s="91"/>
      <c r="D62" s="91"/>
      <c r="E62" s="91"/>
      <c r="F62" s="91"/>
      <c r="G62" s="91"/>
      <c r="H62" s="91"/>
      <c r="I62" s="22"/>
      <c r="J62" s="91"/>
      <c r="K62" s="91"/>
      <c r="M62" s="6">
        <f>ROW()</f>
        <v>62</v>
      </c>
    </row>
    <row r="63" spans="2:13" ht="15" customHeight="1">
      <c r="M63" s="6">
        <f>ROW()</f>
        <v>63</v>
      </c>
    </row>
    <row r="64" spans="2:13" ht="15" customHeight="1">
      <c r="M64" s="6">
        <f>ROW()</f>
        <v>64</v>
      </c>
    </row>
    <row r="65" spans="13:13" ht="15" customHeight="1">
      <c r="M65" s="6">
        <f>ROW()</f>
        <v>65</v>
      </c>
    </row>
    <row r="66" spans="13:13" ht="15" customHeight="1">
      <c r="M66" s="6">
        <f>ROW()</f>
        <v>66</v>
      </c>
    </row>
    <row r="67" spans="13:13" ht="15" customHeight="1">
      <c r="M67" s="6">
        <f>ROW()</f>
        <v>67</v>
      </c>
    </row>
    <row r="68" spans="13:13" ht="15" customHeight="1">
      <c r="M68" s="6">
        <f>ROW()</f>
        <v>68</v>
      </c>
    </row>
    <row r="69" spans="13:13" ht="15" customHeight="1">
      <c r="M69" s="6">
        <f>ROW()</f>
        <v>69</v>
      </c>
    </row>
    <row r="70" spans="13:13" ht="15" customHeight="1">
      <c r="M70" s="6">
        <f>ROW()</f>
        <v>70</v>
      </c>
    </row>
    <row r="71" spans="13:13" ht="15" customHeight="1">
      <c r="M71" s="6">
        <f>ROW()</f>
        <v>71</v>
      </c>
    </row>
    <row r="72" spans="13:13" ht="15" customHeight="1">
      <c r="M72" s="6">
        <f>ROW()</f>
        <v>72</v>
      </c>
    </row>
    <row r="73" spans="13:13" ht="15" customHeight="1">
      <c r="M73" s="6">
        <f>ROW()</f>
        <v>73</v>
      </c>
    </row>
    <row r="74" spans="13:13" ht="15" customHeight="1">
      <c r="M74" s="6">
        <f>ROW()</f>
        <v>74</v>
      </c>
    </row>
    <row r="75" spans="13:13" ht="15" customHeight="1">
      <c r="M75" s="6">
        <f>ROW()</f>
        <v>75</v>
      </c>
    </row>
    <row r="76" spans="13:13" ht="15" customHeight="1">
      <c r="M76" s="6">
        <f>ROW()</f>
        <v>76</v>
      </c>
    </row>
    <row r="77" spans="13:13" ht="15" customHeight="1">
      <c r="M77" s="6">
        <f>ROW()</f>
        <v>77</v>
      </c>
    </row>
    <row r="78" spans="13:13" ht="15" customHeight="1">
      <c r="M78" s="6">
        <f>ROW()</f>
        <v>78</v>
      </c>
    </row>
    <row r="79" spans="13:13" ht="15" customHeight="1">
      <c r="M79" s="6">
        <f>ROW()</f>
        <v>79</v>
      </c>
    </row>
    <row r="80" spans="13:13" ht="15" customHeight="1">
      <c r="M80" s="6">
        <f>ROW()</f>
        <v>80</v>
      </c>
    </row>
    <row r="81" spans="2:15" ht="15" customHeight="1">
      <c r="M81" s="6">
        <f>ROW()</f>
        <v>81</v>
      </c>
    </row>
    <row r="82" spans="2:15" ht="15" customHeight="1">
      <c r="M82" s="6">
        <f>ROW()</f>
        <v>82</v>
      </c>
    </row>
    <row r="83" spans="2:15" ht="15" customHeight="1">
      <c r="M83" s="6">
        <f>ROW()</f>
        <v>83</v>
      </c>
    </row>
    <row r="84" spans="2:15" ht="15" customHeight="1">
      <c r="M84" s="6">
        <f>ROW()</f>
        <v>84</v>
      </c>
    </row>
    <row r="85" spans="2:15" ht="15" customHeight="1">
      <c r="M85" s="6">
        <f>ROW()</f>
        <v>85</v>
      </c>
    </row>
    <row r="86" spans="2:15" ht="15" customHeight="1">
      <c r="M86" s="6">
        <f>ROW()</f>
        <v>86</v>
      </c>
    </row>
    <row r="87" spans="2:15" ht="15" customHeight="1">
      <c r="B87" s="8" t="s">
        <v>1020</v>
      </c>
      <c r="I87" s="204" t="s">
        <v>1040</v>
      </c>
      <c r="J87" s="95">
        <f>Summary!Z116</f>
        <v>2024</v>
      </c>
      <c r="K87" s="32" t="s">
        <v>1039</v>
      </c>
      <c r="M87" s="6">
        <f>ROW()</f>
        <v>87</v>
      </c>
    </row>
    <row r="88" spans="2:15" ht="15" customHeight="1">
      <c r="B88" s="32" t="s">
        <v>1021</v>
      </c>
      <c r="I88" s="204" t="s">
        <v>1041</v>
      </c>
      <c r="J88" s="95">
        <v>2013</v>
      </c>
      <c r="M88" s="6">
        <f>ROW()</f>
        <v>88</v>
      </c>
    </row>
    <row r="89" spans="2:15" ht="15" customHeight="1">
      <c r="E89" s="12"/>
      <c r="F89" s="798" t="s">
        <v>158</v>
      </c>
      <c r="G89" s="12"/>
      <c r="H89" s="12"/>
      <c r="I89" s="798" t="s">
        <v>885</v>
      </c>
      <c r="J89" s="798" t="s">
        <v>1015</v>
      </c>
      <c r="M89" s="6">
        <f>ROW()</f>
        <v>89</v>
      </c>
      <c r="O89" s="32"/>
    </row>
    <row r="90" spans="2:15" ht="15" customHeight="1">
      <c r="E90" s="12" t="s">
        <v>107</v>
      </c>
      <c r="F90" s="798"/>
      <c r="G90" s="12" t="s">
        <v>163</v>
      </c>
      <c r="H90" s="12" t="s">
        <v>11</v>
      </c>
      <c r="I90" s="798"/>
      <c r="J90" s="798"/>
      <c r="K90" s="12" t="s">
        <v>932</v>
      </c>
      <c r="M90" s="6">
        <f>ROW()</f>
        <v>90</v>
      </c>
    </row>
    <row r="91" spans="2:15" ht="15" customHeight="1">
      <c r="B91" s="714" t="s">
        <v>1024</v>
      </c>
      <c r="M91" s="6">
        <f>ROW()</f>
        <v>91</v>
      </c>
    </row>
    <row r="92" spans="2:15" ht="15" customHeight="1">
      <c r="B92" s="32" t="s">
        <v>1018</v>
      </c>
      <c r="E92" s="38">
        <f t="shared" ref="E92:J92" si="0">E56</f>
        <v>380.01657099601886</v>
      </c>
      <c r="F92" s="38">
        <f t="shared" si="0"/>
        <v>61.840607495264543</v>
      </c>
      <c r="G92" s="38">
        <f t="shared" si="0"/>
        <v>23.297579504791724</v>
      </c>
      <c r="H92" s="38">
        <f t="shared" si="0"/>
        <v>0.72345804337013886</v>
      </c>
      <c r="I92" s="38">
        <f t="shared" si="0"/>
        <v>0</v>
      </c>
      <c r="J92" s="38">
        <f t="shared" si="0"/>
        <v>0</v>
      </c>
      <c r="K92" s="38">
        <f>SUM(E92:J92)</f>
        <v>465.87821603944525</v>
      </c>
      <c r="M92" s="6">
        <f>ROW()</f>
        <v>92</v>
      </c>
    </row>
    <row r="93" spans="2:15" ht="15" customHeight="1">
      <c r="B93" s="32" t="str">
        <f>CONCATENATE("Subsidy Rate ($ per tonne, ",J88, "$)")</f>
        <v>Subsidy Rate ($ per tonne, 2013$)</v>
      </c>
      <c r="E93" s="73">
        <f t="shared" ref="E93:J93" si="1">E$50</f>
        <v>61.084690606635867</v>
      </c>
      <c r="F93" s="73">
        <f t="shared" si="1"/>
        <v>112.65067027148811</v>
      </c>
      <c r="G93" s="73">
        <f t="shared" si="1"/>
        <v>112.65067027148811</v>
      </c>
      <c r="H93" s="73">
        <f t="shared" si="1"/>
        <v>112.65067027148811</v>
      </c>
      <c r="I93" s="73">
        <f t="shared" si="1"/>
        <v>86.867680439061985</v>
      </c>
      <c r="J93" s="73">
        <f t="shared" si="1"/>
        <v>86.867680439061985</v>
      </c>
      <c r="M93" s="6">
        <f>ROW()</f>
        <v>93</v>
      </c>
    </row>
    <row r="94" spans="2:15" ht="15" customHeight="1">
      <c r="B94" s="91" t="str">
        <f>CONCATENATE("Copied from Row ",M50, ".")</f>
        <v>Copied from Row 50.</v>
      </c>
      <c r="M94" s="6">
        <f>ROW()</f>
        <v>94</v>
      </c>
    </row>
    <row r="95" spans="2:15" ht="15" customHeight="1">
      <c r="B95" s="32" t="str">
        <f>CONCATENATE("Subsidy Rate ($ per tonne, ",J87, "$)")</f>
        <v>Subsidy Rate ($ per tonne, 2024$)</v>
      </c>
      <c r="E95" s="73">
        <f>E93*AEO!$J$18^($J$87-$J$88)</f>
        <v>73.008807580092451</v>
      </c>
      <c r="F95" s="73">
        <f>F93*AEO!$J$18^($J$87-$J$88)</f>
        <v>134.6407917915534</v>
      </c>
      <c r="G95" s="73">
        <f>G93*AEO!$J$18^($J$87-$J$88)</f>
        <v>134.6407917915534</v>
      </c>
      <c r="H95" s="73">
        <f>H93*AEO!$J$18^($J$87-$J$88)</f>
        <v>134.6407917915534</v>
      </c>
      <c r="I95" s="73">
        <f>I93*AEO!$J$18^($J$87-$J$88)</f>
        <v>103.82479968582292</v>
      </c>
      <c r="J95" s="73">
        <f>J93*AEO!$J$18^($J$87-$J$88)</f>
        <v>103.82479968582292</v>
      </c>
      <c r="M95" s="6">
        <f>ROW()</f>
        <v>95</v>
      </c>
    </row>
    <row r="96" spans="2:15" ht="15" customHeight="1">
      <c r="B96" s="91" t="str">
        <f>CONCATENATE("Calculated by multiplying Row ",M93, " by AEO general-inflation factor from 'AEO' tab, Cell J",AEO!P18, " exponentiated to the number of years between cells J",M87, " and J",M88,".")</f>
        <v>Calculated by multiplying Row 93 by AEO general-inflation factor from 'AEO' tab, Cell J18 exponentiated to the number of years between cells J87 and J88.</v>
      </c>
      <c r="E96" s="73"/>
      <c r="F96" s="73"/>
      <c r="G96" s="73"/>
      <c r="H96" s="73"/>
      <c r="I96" s="73"/>
      <c r="J96" s="73"/>
      <c r="M96" s="6">
        <f>ROW()</f>
        <v>96</v>
      </c>
    </row>
    <row r="97" spans="2:13" ht="15" customHeight="1">
      <c r="B97" s="8" t="s">
        <v>1022</v>
      </c>
      <c r="E97" s="716">
        <f t="shared" ref="E97:J97" si="2">E92*E95/1000</f>
        <v>27.744556709094883</v>
      </c>
      <c r="F97" s="716">
        <f t="shared" si="2"/>
        <v>8.3262683580330901</v>
      </c>
      <c r="G97" s="716">
        <f t="shared" si="2"/>
        <v>3.1368045513518239</v>
      </c>
      <c r="H97" s="716">
        <f t="shared" si="2"/>
        <v>9.7406963787323483E-2</v>
      </c>
      <c r="I97" s="716">
        <f t="shared" si="2"/>
        <v>0</v>
      </c>
      <c r="J97" s="716">
        <f t="shared" si="2"/>
        <v>0</v>
      </c>
      <c r="K97" s="716">
        <f>SUM(E97:J97)</f>
        <v>39.305036582267114</v>
      </c>
      <c r="M97" s="6">
        <f>ROW()</f>
        <v>97</v>
      </c>
    </row>
    <row r="98" spans="2:13" ht="15" customHeight="1">
      <c r="B98" s="91" t="str">
        <f>CONCATENATE("Product of Rows ",M92, " and ",M95, ".")</f>
        <v>Product of Rows 92 and 95.</v>
      </c>
      <c r="M98" s="6">
        <f>ROW()</f>
        <v>98</v>
      </c>
    </row>
    <row r="99" spans="2:13" ht="15" customHeight="1">
      <c r="M99" s="6">
        <f>ROW()</f>
        <v>99</v>
      </c>
    </row>
    <row r="100" spans="2:13" ht="15" customHeight="1">
      <c r="B100" s="714" t="s">
        <v>1023</v>
      </c>
      <c r="M100" s="6">
        <f>ROW()</f>
        <v>100</v>
      </c>
    </row>
    <row r="101" spans="2:13" ht="15" customHeight="1">
      <c r="B101" s="32" t="s">
        <v>1028</v>
      </c>
      <c r="E101" s="38">
        <f>Summary!Z121</f>
        <v>2048.87507510974</v>
      </c>
      <c r="F101" s="38">
        <f>Summary!Z122</f>
        <v>1290.8533940289897</v>
      </c>
      <c r="G101" s="38">
        <f>Summary!Z123</f>
        <v>488.09547778414606</v>
      </c>
      <c r="H101" s="38">
        <f>Summary!Z124</f>
        <v>214.58928836805867</v>
      </c>
      <c r="I101" s="38">
        <f>Summary!Z125</f>
        <v>835.17159846865184</v>
      </c>
      <c r="J101" s="38">
        <f>Summary!Z126</f>
        <v>655.68012769420454</v>
      </c>
      <c r="K101" s="38">
        <f>SUM(E101:J101)</f>
        <v>5533.2649614537904</v>
      </c>
      <c r="M101" s="6">
        <f>ROW()</f>
        <v>101</v>
      </c>
    </row>
    <row r="102" spans="2:13" ht="15" customHeight="1">
      <c r="B102" s="91" t="str">
        <f>CONCATENATE("Source:'Summary' tab, Rows ",Summary!AO121, "-",Summary!AO126, ", Col. Z (corresponding to 10th year of tax.")</f>
        <v>Source:'Summary' tab, Rows 121-126, Col. Z (corresponding to 10th year of tax.</v>
      </c>
      <c r="M102" s="6">
        <f>ROW()</f>
        <v>102</v>
      </c>
    </row>
    <row r="103" spans="2:13" ht="15" customHeight="1">
      <c r="B103" s="32" t="s">
        <v>1025</v>
      </c>
      <c r="E103" s="38">
        <f t="shared" ref="E103:J103" si="3">E54</f>
        <v>625.05918374198609</v>
      </c>
      <c r="F103" s="38">
        <f t="shared" si="3"/>
        <v>141.96636801945988</v>
      </c>
      <c r="G103" s="38">
        <f t="shared" si="3"/>
        <v>64.098355744207765</v>
      </c>
      <c r="H103" s="38">
        <f t="shared" si="3"/>
        <v>23.563222567647358</v>
      </c>
      <c r="I103" s="38">
        <f t="shared" si="3"/>
        <v>89.140700192960367</v>
      </c>
      <c r="J103" s="38">
        <f t="shared" si="3"/>
        <v>14.964500885669963</v>
      </c>
      <c r="K103" s="38">
        <f>SUM(E103:J103)</f>
        <v>958.79233115193142</v>
      </c>
      <c r="M103" s="6">
        <f>ROW()</f>
        <v>103</v>
      </c>
    </row>
    <row r="104" spans="2:13" ht="15" customHeight="1">
      <c r="B104" s="91" t="str">
        <f>CONCATENATE("Row ",M54, ".")</f>
        <v>Row 54.</v>
      </c>
      <c r="E104" s="38"/>
      <c r="F104" s="38"/>
      <c r="G104" s="38"/>
      <c r="H104" s="38"/>
      <c r="I104" s="38"/>
      <c r="J104" s="38"/>
      <c r="K104" s="38"/>
      <c r="M104" s="6">
        <f>ROW()</f>
        <v>104</v>
      </c>
    </row>
    <row r="105" spans="2:13" ht="15" customHeight="1">
      <c r="B105" s="32" t="s">
        <v>1029</v>
      </c>
      <c r="E105" s="38">
        <f t="shared" ref="E105:J105" si="4">E101-E103</f>
        <v>1423.8158913677539</v>
      </c>
      <c r="F105" s="38">
        <f t="shared" si="4"/>
        <v>1148.8870260095298</v>
      </c>
      <c r="G105" s="38">
        <f t="shared" si="4"/>
        <v>423.99712203993829</v>
      </c>
      <c r="H105" s="38">
        <f t="shared" si="4"/>
        <v>191.02606580041132</v>
      </c>
      <c r="I105" s="38">
        <f t="shared" si="4"/>
        <v>746.03089827569147</v>
      </c>
      <c r="J105" s="38">
        <f t="shared" si="4"/>
        <v>640.71562680853458</v>
      </c>
      <c r="K105" s="38">
        <f>SUM(E105:J105)</f>
        <v>4574.4726303018597</v>
      </c>
      <c r="M105" s="6">
        <f>ROW()</f>
        <v>105</v>
      </c>
    </row>
    <row r="106" spans="2:13" ht="15" customHeight="1">
      <c r="B106" s="91" t="str">
        <f>CONCATENATE("Row ",M101, " less Row ",M103, ".")</f>
        <v>Row 101 less Row 103.</v>
      </c>
      <c r="E106" s="38"/>
      <c r="F106" s="38"/>
      <c r="G106" s="38"/>
      <c r="H106" s="38"/>
      <c r="I106" s="38"/>
      <c r="J106" s="38"/>
      <c r="K106" s="38"/>
      <c r="M106" s="6">
        <f>ROW()</f>
        <v>106</v>
      </c>
    </row>
    <row r="107" spans="2:13" ht="15" customHeight="1">
      <c r="B107" s="32" t="s">
        <v>1026</v>
      </c>
      <c r="E107" s="73">
        <f t="shared" ref="E107:J107" si="5">E$50</f>
        <v>61.084690606635867</v>
      </c>
      <c r="F107" s="73">
        <f t="shared" si="5"/>
        <v>112.65067027148811</v>
      </c>
      <c r="G107" s="73">
        <f t="shared" si="5"/>
        <v>112.65067027148811</v>
      </c>
      <c r="H107" s="73">
        <f t="shared" si="5"/>
        <v>112.65067027148811</v>
      </c>
      <c r="I107" s="73">
        <f t="shared" si="5"/>
        <v>86.867680439061985</v>
      </c>
      <c r="J107" s="73">
        <f t="shared" si="5"/>
        <v>86.867680439061985</v>
      </c>
      <c r="M107" s="6">
        <f>ROW()</f>
        <v>107</v>
      </c>
    </row>
    <row r="108" spans="2:13" ht="15" customHeight="1">
      <c r="B108" s="91" t="str">
        <f>CONCATENATE("Row ",M50, ".")</f>
        <v>Row 50.</v>
      </c>
      <c r="E108" s="73"/>
      <c r="F108" s="73"/>
      <c r="G108" s="73"/>
      <c r="H108" s="73"/>
      <c r="I108" s="73"/>
      <c r="J108" s="73"/>
      <c r="M108" s="6">
        <f>ROW()</f>
        <v>108</v>
      </c>
    </row>
    <row r="109" spans="2:13" ht="15" customHeight="1">
      <c r="B109" s="8" t="s">
        <v>1027</v>
      </c>
      <c r="E109" s="716">
        <f t="shared" ref="E109:J109" si="6">E105*E107/1000</f>
        <v>86.97335320501071</v>
      </c>
      <c r="F109" s="716">
        <f t="shared" si="6"/>
        <v>129.42289354619012</v>
      </c>
      <c r="G109" s="716">
        <f t="shared" si="6"/>
        <v>47.763559990980987</v>
      </c>
      <c r="H109" s="716">
        <f t="shared" si="6"/>
        <v>21.519214351741727</v>
      </c>
      <c r="I109" s="716">
        <f t="shared" si="6"/>
        <v>64.805973669079123</v>
      </c>
      <c r="J109" s="716">
        <f t="shared" si="6"/>
        <v>55.657480321917078</v>
      </c>
      <c r="K109" s="716">
        <f>SUM(E109:J109)</f>
        <v>406.14247508491974</v>
      </c>
      <c r="M109" s="6">
        <f>ROW()</f>
        <v>109</v>
      </c>
    </row>
    <row r="110" spans="2:13" ht="15" customHeight="1">
      <c r="B110" s="91" t="str">
        <f>CONCATENATE("Row ",M105, " times Row ",M107, ", divided by 1,000.")</f>
        <v>Row 105 times Row 107, divided by 1,000.</v>
      </c>
      <c r="M110" s="6">
        <f>ROW()</f>
        <v>110</v>
      </c>
    </row>
    <row r="111" spans="2:13" ht="15" customHeight="1">
      <c r="M111" s="6">
        <f>ROW()</f>
        <v>111</v>
      </c>
    </row>
    <row r="112" spans="2:13" ht="15" customHeight="1">
      <c r="B112" s="8" t="s">
        <v>1038</v>
      </c>
      <c r="H112" s="32"/>
      <c r="M112" s="6">
        <f>ROW()</f>
        <v>112</v>
      </c>
    </row>
    <row r="113" spans="2:13" ht="15" customHeight="1">
      <c r="B113" s="8"/>
      <c r="E113" s="12"/>
      <c r="F113" s="798" t="s">
        <v>158</v>
      </c>
      <c r="G113" s="12"/>
      <c r="H113" s="12"/>
      <c r="M113" s="6">
        <f>ROW()</f>
        <v>113</v>
      </c>
    </row>
    <row r="114" spans="2:13" ht="15" customHeight="1">
      <c r="E114" s="12" t="s">
        <v>107</v>
      </c>
      <c r="F114" s="798"/>
      <c r="G114" s="12" t="s">
        <v>163</v>
      </c>
      <c r="H114" s="12" t="s">
        <v>11</v>
      </c>
      <c r="M114" s="6">
        <f>ROW()</f>
        <v>114</v>
      </c>
    </row>
    <row r="115" spans="2:13" ht="15" customHeight="1">
      <c r="B115" s="14" t="s">
        <v>1070</v>
      </c>
      <c r="E115" s="38">
        <f>Electricity!Z28</f>
        <v>4578.6939592290319</v>
      </c>
      <c r="F115" s="38">
        <f>'Personal Ground Travel'!Z43</f>
        <v>145440.39168141692</v>
      </c>
      <c r="G115" s="38">
        <f>Freight!Z55</f>
        <v>47926.470443985563</v>
      </c>
      <c r="H115" s="38">
        <f>Aviation!Z43</f>
        <v>29491.231317726262</v>
      </c>
      <c r="M115" s="6">
        <f>ROW()</f>
        <v>115</v>
      </c>
    </row>
    <row r="116" spans="2:13" ht="15" customHeight="1">
      <c r="B116" s="91" t="s">
        <v>1067</v>
      </c>
      <c r="E116" s="204" t="s">
        <v>903</v>
      </c>
      <c r="F116" s="204" t="s">
        <v>1042</v>
      </c>
      <c r="M116" s="6">
        <f>ROW()</f>
        <v>116</v>
      </c>
    </row>
    <row r="117" spans="2:13" ht="15" customHeight="1">
      <c r="B117" s="32" t="s">
        <v>1035</v>
      </c>
      <c r="E117" s="717">
        <f>Electricity!Z26/100</f>
        <v>0.11490962919894261</v>
      </c>
      <c r="F117" s="73">
        <f>'Personal Ground Travel'!Z49</f>
        <v>6.1333797957985441</v>
      </c>
      <c r="G117" s="73">
        <f>Freight!Z51</f>
        <v>6.3798352606025892</v>
      </c>
      <c r="H117" s="73">
        <f>Aviation!Z51</f>
        <v>6.3732935558081047</v>
      </c>
      <c r="M117" s="6">
        <f>ROW()</f>
        <v>117</v>
      </c>
    </row>
    <row r="118" spans="2:13" ht="15" customHeight="1">
      <c r="B118" s="91" t="s">
        <v>1067</v>
      </c>
      <c r="M118" s="6">
        <f>ROW()</f>
        <v>118</v>
      </c>
    </row>
    <row r="119" spans="2:13" ht="15" customHeight="1">
      <c r="B119" s="32" t="s">
        <v>1036</v>
      </c>
      <c r="E119" s="265">
        <f>E115*E117</f>
        <v>526.13602507044652</v>
      </c>
      <c r="F119" s="265">
        <f>F115*F117/1000</f>
        <v>892.04115983182919</v>
      </c>
      <c r="G119" s="265">
        <f>G115*G117/1000</f>
        <v>305.76298605476694</v>
      </c>
      <c r="H119" s="265">
        <f>H115*H117/1000</f>
        <v>187.95627451011097</v>
      </c>
      <c r="M119" s="6">
        <f>ROW()</f>
        <v>119</v>
      </c>
    </row>
    <row r="120" spans="2:13" ht="15" customHeight="1">
      <c r="B120" s="91" t="str">
        <f>CONCATENATE("Product of Rows ",M115, " and ",M117, ".")</f>
        <v>Product of Rows 115 and 117.</v>
      </c>
      <c r="M120" s="6">
        <f>ROW()</f>
        <v>120</v>
      </c>
    </row>
    <row r="121" spans="2:13" ht="15" customHeight="1">
      <c r="B121" s="32" t="s">
        <v>1037</v>
      </c>
      <c r="E121" s="715">
        <f>E97</f>
        <v>27.744556709094883</v>
      </c>
      <c r="F121" s="715">
        <f>F97</f>
        <v>8.3262683580330901</v>
      </c>
      <c r="G121" s="715">
        <f>G97</f>
        <v>3.1368045513518239</v>
      </c>
      <c r="H121" s="715">
        <f>H97</f>
        <v>9.7406963787323483E-2</v>
      </c>
      <c r="M121" s="6">
        <f>ROW()</f>
        <v>121</v>
      </c>
    </row>
    <row r="122" spans="2:13" ht="15" customHeight="1">
      <c r="B122" s="91" t="str">
        <f>CONCATENATE("Copied from Row ",M97, ".")</f>
        <v>Copied from Row 97.</v>
      </c>
      <c r="M122" s="6">
        <f>ROW()</f>
        <v>122</v>
      </c>
    </row>
    <row r="123" spans="2:13" ht="15" customHeight="1">
      <c r="B123" s="14" t="s">
        <v>1068</v>
      </c>
      <c r="E123" s="15">
        <f>E121/E119</f>
        <v>5.2732668715053395E-2</v>
      </c>
      <c r="F123" s="15">
        <f>F121/F119</f>
        <v>9.3339508679204757E-3</v>
      </c>
      <c r="G123" s="15">
        <f>G121/G119</f>
        <v>1.0258941384062664E-2</v>
      </c>
      <c r="H123" s="15">
        <f>H121/H119</f>
        <v>5.1824268192804358E-4</v>
      </c>
      <c r="M123" s="6">
        <f>ROW()</f>
        <v>123</v>
      </c>
    </row>
    <row r="124" spans="2:13" ht="15" customHeight="1">
      <c r="B124" s="91" t="str">
        <f>CONCATENATE("Quotient of Rows ",M121, " and ",M119, ".")</f>
        <v>Quotient of Rows 121 and 119.</v>
      </c>
      <c r="M124" s="6">
        <f>ROW()</f>
        <v>124</v>
      </c>
    </row>
    <row r="125" spans="2:13" ht="15" customHeight="1">
      <c r="B125" s="14" t="s">
        <v>1069</v>
      </c>
      <c r="E125" s="15">
        <f>(1-E123)^Parameters!G6-1</f>
        <v>3.8649958435505116E-2</v>
      </c>
      <c r="F125" s="15">
        <f>(1-F123)^Parameters!G7-1</f>
        <v>3.7581582996566443E-3</v>
      </c>
      <c r="G125" s="15">
        <f>(1-G123)^Parameters!G8-1</f>
        <v>5.1692783631962502E-3</v>
      </c>
      <c r="H125" s="49">
        <f>(1-H123)^Parameters!G9-1</f>
        <v>3.1107458331480764E-4</v>
      </c>
      <c r="M125" s="6">
        <f>ROW()</f>
        <v>125</v>
      </c>
    </row>
    <row r="126" spans="2:13" ht="15" customHeight="1">
      <c r="B126" s="91" t="str">
        <f>CONCATENATE("Complement of Row ",M123, ", raised to respective elasticities taken from 'Parameters' tab (details TK).")</f>
        <v>Complement of Row 123, raised to respective elasticities taken from 'Parameters' tab (details TK).</v>
      </c>
      <c r="M126" s="6">
        <f>ROW()</f>
        <v>126</v>
      </c>
    </row>
    <row r="127" spans="2:13" ht="15" customHeight="1">
      <c r="B127" s="32" t="s">
        <v>1044</v>
      </c>
      <c r="E127" s="38">
        <f>E125*E115</f>
        <v>176.96633121310043</v>
      </c>
      <c r="F127" s="38">
        <f>F125*F115</f>
        <v>546.58801510283013</v>
      </c>
      <c r="G127" s="38">
        <f>G125*G115</f>
        <v>247.74526669045915</v>
      </c>
      <c r="H127" s="38">
        <f>H125*H115</f>
        <v>9.173972493602303</v>
      </c>
      <c r="M127" s="6">
        <f>ROW()</f>
        <v>127</v>
      </c>
    </row>
    <row r="128" spans="2:13" ht="15" customHeight="1">
      <c r="B128" s="91" t="str">
        <f>CONCATENATE("Product of Rows ",M115, " and ",M125, ".")</f>
        <v>Product of Rows 115 and 125.</v>
      </c>
      <c r="M128" s="6">
        <f>ROW()</f>
        <v>128</v>
      </c>
    </row>
    <row r="129" spans="2:13" ht="15" customHeight="1">
      <c r="B129" s="32" t="s">
        <v>1048</v>
      </c>
      <c r="E129" s="6">
        <f>Electricity!Z55</f>
        <v>0.7412230881318439</v>
      </c>
      <c r="F129" s="21">
        <f>'Personal Ground Travel'!K28</f>
        <v>19.570435014151581</v>
      </c>
      <c r="G129" s="21">
        <f>Freight!K28</f>
        <v>22.456286026151631</v>
      </c>
      <c r="H129" s="21">
        <f>Aviation!K28</f>
        <v>21.098238491092783</v>
      </c>
      <c r="M129" s="6">
        <f>ROW()</f>
        <v>129</v>
      </c>
    </row>
    <row r="130" spans="2:13" ht="15" customHeight="1">
      <c r="B130" s="91" t="s">
        <v>1067</v>
      </c>
      <c r="E130" s="204" t="s">
        <v>1047</v>
      </c>
      <c r="F130" s="204" t="s">
        <v>1049</v>
      </c>
      <c r="M130" s="6">
        <f>ROW()</f>
        <v>130</v>
      </c>
    </row>
    <row r="131" spans="2:13" ht="15" customHeight="1">
      <c r="B131" s="32" t="s">
        <v>1045</v>
      </c>
      <c r="E131" s="38">
        <f>E127*E129*1000</f>
        <v>131171.53051713703</v>
      </c>
      <c r="F131" s="38">
        <f>F129*F127</f>
        <v>10696.96522908404</v>
      </c>
      <c r="G131" s="38">
        <f>G129*G127</f>
        <v>5563.4385704261667</v>
      </c>
      <c r="H131" s="38">
        <f>H129*H127</f>
        <v>193.55465958074655</v>
      </c>
      <c r="K131" s="798" t="s">
        <v>1073</v>
      </c>
      <c r="M131" s="6">
        <f>ROW()</f>
        <v>131</v>
      </c>
    </row>
    <row r="132" spans="2:13" ht="15" customHeight="1">
      <c r="B132" s="91" t="str">
        <f>CONCATENATE("Product of Rows ",M127, " and ",M129, ".")</f>
        <v>Product of Rows 127 and 129.</v>
      </c>
      <c r="E132" s="204" t="s">
        <v>1043</v>
      </c>
      <c r="F132" s="204" t="s">
        <v>1043</v>
      </c>
      <c r="K132" s="798"/>
      <c r="M132" s="6">
        <f>ROW()</f>
        <v>132</v>
      </c>
    </row>
    <row r="133" spans="2:13" ht="15" customHeight="1">
      <c r="B133" s="32" t="s">
        <v>1046</v>
      </c>
      <c r="E133" s="516">
        <f>E131/Parameters!$H$14</f>
        <v>59.488222456751487</v>
      </c>
      <c r="F133" s="516">
        <f>F131/Parameters!$H$14</f>
        <v>4.8512313964099958</v>
      </c>
      <c r="G133" s="516">
        <f>G131/Parameters!$H$14</f>
        <v>2.5231013924835222</v>
      </c>
      <c r="H133" s="516">
        <f>H131/Parameters!$H$14</f>
        <v>8.7779890966324964E-2</v>
      </c>
      <c r="K133" s="38">
        <f>SUM(E133:J133)</f>
        <v>66.950335136611344</v>
      </c>
      <c r="L133" s="3" t="s">
        <v>1074</v>
      </c>
      <c r="M133" s="6">
        <f>ROW()</f>
        <v>133</v>
      </c>
    </row>
    <row r="134" spans="2:13" ht="15" customHeight="1">
      <c r="B134" s="91" t="s">
        <v>1071</v>
      </c>
      <c r="L134" s="3"/>
      <c r="M134" s="6">
        <f>ROW()</f>
        <v>134</v>
      </c>
    </row>
    <row r="135" spans="2:13" ht="15" customHeight="1">
      <c r="B135" s="14" t="s">
        <v>1072</v>
      </c>
      <c r="E135" s="38">
        <f t="shared" ref="E135:J135" si="7">E56-E133</f>
        <v>320.52834853926737</v>
      </c>
      <c r="F135" s="726">
        <f t="shared" si="7"/>
        <v>56.989376098854549</v>
      </c>
      <c r="G135" s="727">
        <f t="shared" si="7"/>
        <v>20.774478112308202</v>
      </c>
      <c r="H135" s="728">
        <f t="shared" si="7"/>
        <v>0.63567815240381387</v>
      </c>
      <c r="I135" s="38">
        <f t="shared" si="7"/>
        <v>0</v>
      </c>
      <c r="J135" s="38">
        <f t="shared" si="7"/>
        <v>0</v>
      </c>
      <c r="K135" s="38">
        <f>SUM(E135:J135)</f>
        <v>398.92788090283398</v>
      </c>
      <c r="L135" s="3" t="s">
        <v>1075</v>
      </c>
      <c r="M135" s="6">
        <f>ROW()</f>
        <v>135</v>
      </c>
    </row>
    <row r="136" spans="2:13" ht="15" customHeight="1">
      <c r="B136" s="91" t="str">
        <f>CONCATENATE("Row ",M56, " less Row ",M133, ".")</f>
        <v>Row 56 less Row 133.</v>
      </c>
      <c r="F136" s="270"/>
      <c r="G136" s="71"/>
      <c r="H136" s="27"/>
      <c r="M136" s="6">
        <f>ROW()</f>
        <v>136</v>
      </c>
    </row>
    <row r="137" spans="2:13" ht="15" customHeight="1">
      <c r="F137" s="812">
        <f>SUM(F135:H135)</f>
        <v>78.399532363566564</v>
      </c>
      <c r="G137" s="813"/>
      <c r="H137" s="814"/>
      <c r="M137" s="6">
        <f>ROW()</f>
        <v>137</v>
      </c>
    </row>
    <row r="138" spans="2:13" ht="15" customHeight="1">
      <c r="M138" s="6">
        <f>ROW()</f>
        <v>138</v>
      </c>
    </row>
    <row r="139" spans="2:13" ht="15" customHeight="1">
      <c r="M139" s="6">
        <f>ROW()</f>
        <v>139</v>
      </c>
    </row>
    <row r="140" spans="2:13" ht="15" customHeight="1">
      <c r="B140" s="32" t="s">
        <v>1052</v>
      </c>
      <c r="M140" s="6">
        <f>ROW()</f>
        <v>140</v>
      </c>
    </row>
    <row r="141" spans="2:13" ht="15" customHeight="1">
      <c r="M141" s="6">
        <f>ROW()</f>
        <v>141</v>
      </c>
    </row>
    <row r="142" spans="2:13" ht="15" customHeight="1">
      <c r="B142" s="8" t="s">
        <v>1050</v>
      </c>
      <c r="M142" s="6">
        <f>ROW()</f>
        <v>142</v>
      </c>
    </row>
    <row r="143" spans="2:13" ht="15" customHeight="1">
      <c r="B143" s="718" t="str">
        <f>CONCATENATE("the Staff of the Joint Committee On Taxation, Dec. 18, 2013. Note wide variation from figure of ",'Personal Ground Travel'!K25, " from 'Personal Ground Travel' tab, Row ",'Personal Ground Travel'!AP38, ".")</f>
        <v>the Staff of the Joint Committee On Taxation, Dec. 18, 2013. Note wide variation from figure of 125071.428571429 from 'Personal Ground Travel' tab, Row 38.</v>
      </c>
      <c r="M143" s="6">
        <f>ROW()</f>
        <v>143</v>
      </c>
    </row>
    <row r="144" spans="2:13" ht="15" customHeight="1">
      <c r="B144" s="32" t="s">
        <v>1011</v>
      </c>
      <c r="I144" s="22">
        <v>115000</v>
      </c>
      <c r="M144" s="6">
        <f>ROW()</f>
        <v>144</v>
      </c>
    </row>
    <row r="145" spans="2:13" ht="15" customHeight="1">
      <c r="B145" s="809" t="str">
        <f>CONCATENATE("Stated, w/o citation, in Table 2 (p. 28) of JCX-21-13, 'Technical Explanation Of The Senate Committee On Finance’s Staff Discussion Draft To Reform Certain Energy" &amp; " Tax Provisions,' prepared by the Staff of the Joint Committee On Taxation, Dec. 18, 2013. Note wide difference from figure of ",ROUND('Personal Ground Travel'!K25,), " from 'Personal Ground Travel' tab, Row ",'Personal Ground Travel'!AP38, ".")</f>
        <v>Stated, w/o citation, in Table 2 (p. 28) of JCX-21-13, 'Technical Explanation Of The Senate Committee On Finance’s Staff Discussion Draft To Reform Certain Energy Tax Provisions,' prepared by the Staff of the Joint Committee On Taxation, Dec. 18, 2013. Note wide difference from figure of 125071 from 'Personal Ground Travel' tab, Row 38.</v>
      </c>
      <c r="C145" s="738"/>
      <c r="D145" s="738"/>
      <c r="E145" s="738"/>
      <c r="F145" s="738"/>
      <c r="G145" s="738"/>
      <c r="H145" s="738"/>
      <c r="I145" s="738"/>
      <c r="M145" s="6">
        <f>ROW()</f>
        <v>145</v>
      </c>
    </row>
    <row r="146" spans="2:13" ht="15" customHeight="1">
      <c r="B146" s="738"/>
      <c r="C146" s="738"/>
      <c r="D146" s="738"/>
      <c r="E146" s="738"/>
      <c r="F146" s="738"/>
      <c r="G146" s="738"/>
      <c r="H146" s="738"/>
      <c r="I146" s="738"/>
      <c r="M146" s="6">
        <f>ROW()</f>
        <v>146</v>
      </c>
    </row>
    <row r="147" spans="2:13" ht="15" customHeight="1">
      <c r="B147" s="738"/>
      <c r="C147" s="738"/>
      <c r="D147" s="738"/>
      <c r="E147" s="738"/>
      <c r="F147" s="738"/>
      <c r="G147" s="738"/>
      <c r="H147" s="738"/>
      <c r="I147" s="738"/>
      <c r="M147" s="6">
        <f>ROW()</f>
        <v>147</v>
      </c>
    </row>
    <row r="148" spans="2:13" ht="15" customHeight="1">
      <c r="B148" s="32" t="s">
        <v>1013</v>
      </c>
      <c r="I148" s="21">
        <f>I37</f>
        <v>19.570435014151581</v>
      </c>
      <c r="M148" s="6">
        <f>ROW()</f>
        <v>148</v>
      </c>
    </row>
    <row r="149" spans="2:13" ht="15" customHeight="1">
      <c r="B149" s="91" t="str">
        <f>CONCATENATE("From 'Personal Ground Travel' tab, Row ",'Personal Ground Travel'!AP41, ".")</f>
        <v>From 'Personal Ground Travel' tab, Row 41.</v>
      </c>
      <c r="M149" s="6">
        <f>ROW()</f>
        <v>149</v>
      </c>
    </row>
    <row r="150" spans="2:13" ht="15" customHeight="1">
      <c r="B150" s="32" t="s">
        <v>1014</v>
      </c>
      <c r="I150" s="21">
        <f>I148*Parameters!$H$16/1000</f>
        <v>8.8770000000000007</v>
      </c>
      <c r="M150" s="6">
        <f>ROW()</f>
        <v>150</v>
      </c>
    </row>
    <row r="151" spans="2:13" ht="15" customHeight="1">
      <c r="B151" s="91" t="str">
        <f>CONCATENATE("Row ",M148, " multiplied by conversion constant in 'Parameters' tab, Cell H",Parameters!O29, " and divided by 1,000.")</f>
        <v>Row 148 multiplied by conversion constant in 'Parameters' tab, Cell H29 and divided by 1,000.</v>
      </c>
      <c r="M151" s="6">
        <f>ROW()</f>
        <v>151</v>
      </c>
    </row>
    <row r="152" spans="2:13" ht="15" customHeight="1">
      <c r="B152" s="32" t="s">
        <v>1051</v>
      </c>
      <c r="I152" s="21">
        <f>I150/I144*1000000</f>
        <v>77.19130434782609</v>
      </c>
      <c r="M152" s="6">
        <f>ROW()</f>
        <v>152</v>
      </c>
    </row>
    <row r="153" spans="2:13" ht="15" customHeight="1">
      <c r="B153" s="91" t="str">
        <f>CONCATENATE("Row ",M150, " divided by Row ",M144, ", multiplied by 1,000,000.")</f>
        <v>Row 150 divided by Row 144, multiplied by 1,000,000.</v>
      </c>
      <c r="M153" s="6">
        <f>ROW()</f>
        <v>153</v>
      </c>
    </row>
    <row r="154" spans="2:13" ht="15" customHeight="1">
      <c r="B154" s="32" t="s">
        <v>1012</v>
      </c>
      <c r="I154" s="712">
        <v>1</v>
      </c>
      <c r="M154" s="6">
        <f>ROW()</f>
        <v>154</v>
      </c>
    </row>
    <row r="155" spans="2:13" ht="15" customHeight="1">
      <c r="B155" s="91" t="s">
        <v>1010</v>
      </c>
      <c r="M155" s="6">
        <f>ROW()</f>
        <v>155</v>
      </c>
    </row>
    <row r="156" spans="2:13" ht="15" customHeight="1">
      <c r="B156" s="32" t="s">
        <v>1008</v>
      </c>
      <c r="I156" s="712">
        <f>I152*I154</f>
        <v>77.19130434782609</v>
      </c>
      <c r="M156" s="6">
        <f>ROW()</f>
        <v>156</v>
      </c>
    </row>
    <row r="157" spans="2:13" ht="15" customHeight="1">
      <c r="B157" s="91" t="str">
        <f>CONCATENATE("Product of Rows ",M152, " and ",M154, ".")</f>
        <v>Product of Rows 152 and 154.</v>
      </c>
    </row>
  </sheetData>
  <mergeCells count="14">
    <mergeCell ref="B3:I6"/>
    <mergeCell ref="B7:I8"/>
    <mergeCell ref="F113:F114"/>
    <mergeCell ref="F137:H137"/>
    <mergeCell ref="J89:J90"/>
    <mergeCell ref="J47:J48"/>
    <mergeCell ref="I47:I48"/>
    <mergeCell ref="B13:I17"/>
    <mergeCell ref="F47:F48"/>
    <mergeCell ref="L49:L50"/>
    <mergeCell ref="K131:K132"/>
    <mergeCell ref="B145:I147"/>
    <mergeCell ref="F89:F90"/>
    <mergeCell ref="I89:I90"/>
  </mergeCells>
  <pageMargins left="0.7" right="0.7" top="0.75" bottom="0.75" header="0.3" footer="0.3"/>
  <pageSetup orientation="portrait" verticalDpi="0"/>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V82"/>
  <sheetViews>
    <sheetView showGridLines="0" workbookViewId="0"/>
  </sheetViews>
  <sheetFormatPr baseColWidth="10" defaultColWidth="10.1640625" defaultRowHeight="14" customHeight="1" x14ac:dyDescent="0"/>
  <cols>
    <col min="1" max="1" width="2.6640625" customWidth="1"/>
  </cols>
  <sheetData>
    <row r="1" spans="2:42" ht="14" customHeight="1">
      <c r="B1" s="59" t="s">
        <v>20</v>
      </c>
      <c r="G1">
        <v>1.2</v>
      </c>
      <c r="H1">
        <v>0.8</v>
      </c>
      <c r="L1" s="237">
        <f>Summary!F3</f>
        <v>41674</v>
      </c>
    </row>
    <row r="2" spans="2:42" ht="14" customHeight="1">
      <c r="B2" s="59"/>
    </row>
    <row r="3" spans="2:42" ht="14" customHeight="1">
      <c r="B3" s="155" t="s">
        <v>24</v>
      </c>
      <c r="D3" s="79"/>
      <c r="E3" s="79"/>
      <c r="F3" s="79"/>
      <c r="G3" s="79"/>
      <c r="H3" s="79"/>
      <c r="I3" s="79"/>
      <c r="J3" s="79"/>
      <c r="K3" s="79"/>
      <c r="L3" s="79"/>
      <c r="M3" s="79"/>
      <c r="N3" s="79"/>
      <c r="O3" s="79"/>
      <c r="P3" s="79"/>
      <c r="Q3" s="79"/>
    </row>
    <row r="4" spans="2:42" ht="14" customHeight="1">
      <c r="B4" s="155"/>
      <c r="D4" s="79"/>
      <c r="E4" s="79"/>
      <c r="F4" s="79"/>
      <c r="G4" s="79"/>
      <c r="H4" s="79"/>
      <c r="I4" s="79"/>
      <c r="J4" s="79"/>
      <c r="K4" s="79"/>
      <c r="L4" s="79"/>
      <c r="M4" s="79"/>
      <c r="N4" s="79"/>
      <c r="O4" s="79"/>
      <c r="P4" s="79"/>
      <c r="Q4" s="79"/>
    </row>
    <row r="5" spans="2:42" ht="14" customHeight="1">
      <c r="I5" s="259"/>
      <c r="J5" s="259"/>
      <c r="K5" s="259"/>
      <c r="L5" s="259"/>
      <c r="M5" s="259"/>
      <c r="N5" s="259"/>
      <c r="O5" s="117" t="s">
        <v>67</v>
      </c>
      <c r="P5" s="117"/>
      <c r="Q5" s="83" t="s">
        <v>25</v>
      </c>
      <c r="R5" s="84"/>
      <c r="S5" s="84"/>
      <c r="T5" s="84"/>
      <c r="U5" s="84"/>
      <c r="V5" s="84"/>
      <c r="W5" s="84"/>
      <c r="X5" s="84"/>
      <c r="Y5" s="84"/>
      <c r="Z5" s="84"/>
      <c r="AA5" s="84"/>
      <c r="AB5" s="84"/>
      <c r="AC5" s="84"/>
      <c r="AD5" s="84"/>
      <c r="AE5" s="84"/>
      <c r="AF5" s="84"/>
      <c r="AG5" s="84"/>
      <c r="AH5" s="84"/>
      <c r="AI5" s="84"/>
      <c r="AJ5" s="84"/>
      <c r="AK5" s="84"/>
      <c r="AL5" s="84"/>
      <c r="AM5" s="84"/>
    </row>
    <row r="6" spans="2:42" s="13" customFormat="1" ht="14" customHeight="1">
      <c r="B6" s="82" t="s">
        <v>21</v>
      </c>
      <c r="I6" s="81">
        <f>Summary!I116</f>
        <v>2005</v>
      </c>
      <c r="J6" s="81">
        <f>Summary!J116</f>
        <v>2006</v>
      </c>
      <c r="K6" s="81">
        <f>Summary!K116</f>
        <v>2007</v>
      </c>
      <c r="L6" s="81">
        <f>Summary!L116</f>
        <v>2008</v>
      </c>
      <c r="M6" s="81">
        <f>Summary!M116</f>
        <v>2009</v>
      </c>
      <c r="N6" s="81">
        <f>Summary!N116</f>
        <v>2010</v>
      </c>
      <c r="O6" s="81">
        <f>Summary!O116</f>
        <v>2011</v>
      </c>
      <c r="P6" s="81">
        <f>Summary!P116</f>
        <v>2012</v>
      </c>
      <c r="Q6" s="81">
        <f>Summary!Q116</f>
        <v>2015</v>
      </c>
      <c r="R6" s="81">
        <f>Summary!R116</f>
        <v>2016</v>
      </c>
      <c r="S6" s="81">
        <f>Summary!S116</f>
        <v>2017</v>
      </c>
      <c r="T6" s="81">
        <f>Summary!T116</f>
        <v>2018</v>
      </c>
      <c r="U6" s="81">
        <f>Summary!U116</f>
        <v>2019</v>
      </c>
      <c r="V6" s="81">
        <f>Summary!V116</f>
        <v>2020</v>
      </c>
      <c r="W6" s="81">
        <f>Summary!W116</f>
        <v>2021</v>
      </c>
      <c r="X6" s="81">
        <f>Summary!X116</f>
        <v>2022</v>
      </c>
      <c r="Y6" s="81">
        <f>Summary!Y116</f>
        <v>2023</v>
      </c>
      <c r="Z6" s="81">
        <f>Summary!Z116</f>
        <v>2024</v>
      </c>
      <c r="AA6" s="81">
        <f>Summary!AA116</f>
        <v>2025</v>
      </c>
      <c r="AB6" s="81">
        <f>Summary!AB116</f>
        <v>2026</v>
      </c>
      <c r="AC6" s="81">
        <f>Summary!AC116</f>
        <v>2027</v>
      </c>
      <c r="AD6" s="81">
        <f>Summary!AD116</f>
        <v>2028</v>
      </c>
      <c r="AE6" s="81">
        <f>Summary!AE116</f>
        <v>2029</v>
      </c>
      <c r="AF6" s="81">
        <f>Summary!AF116</f>
        <v>2030</v>
      </c>
      <c r="AG6" s="81">
        <f>Summary!AG116</f>
        <v>2031</v>
      </c>
      <c r="AH6" s="81">
        <f>Summary!AH116</f>
        <v>2032</v>
      </c>
      <c r="AI6" s="81">
        <f>Summary!AI116</f>
        <v>2033</v>
      </c>
      <c r="AJ6" s="81">
        <f>Summary!AJ116</f>
        <v>2034</v>
      </c>
      <c r="AK6" s="81">
        <f>Summary!AK116</f>
        <v>2035</v>
      </c>
      <c r="AL6" s="81">
        <f>Summary!AL116</f>
        <v>2036</v>
      </c>
      <c r="AM6" s="81">
        <f>Summary!AM116</f>
        <v>2037</v>
      </c>
      <c r="AN6" s="81"/>
      <c r="AO6"/>
      <c r="AP6"/>
    </row>
    <row r="7" spans="2:42" ht="14" customHeight="1">
      <c r="B7" s="8" t="s">
        <v>22</v>
      </c>
      <c r="I7" s="458">
        <f>Summary!I120</f>
        <v>5906.108533464414</v>
      </c>
      <c r="J7" s="458">
        <f>Summary!J120</f>
        <v>5891.271635636268</v>
      </c>
      <c r="K7" s="458">
        <f>Summary!K120</f>
        <v>5938.7462515878469</v>
      </c>
      <c r="L7" s="458">
        <f>Summary!L120</f>
        <v>5771.9859539361714</v>
      </c>
      <c r="M7" s="458">
        <f>Summary!M120</f>
        <v>5406.4262424146846</v>
      </c>
      <c r="N7" s="458">
        <f>Summary!N120</f>
        <v>5596.3581267711561</v>
      </c>
      <c r="O7" s="458">
        <f>Summary!O120</f>
        <v>5458.6080318275599</v>
      </c>
      <c r="P7" s="458">
        <f>Summary!P120</f>
        <v>5220.6540028747349</v>
      </c>
      <c r="Q7" s="458">
        <f>Summary!Q120</f>
        <v>5318.3863541686651</v>
      </c>
      <c r="R7" s="458">
        <f>Summary!R120</f>
        <v>5341.8083297183057</v>
      </c>
      <c r="S7" s="458">
        <f>Summary!S120</f>
        <v>5365.3374957879878</v>
      </c>
      <c r="T7" s="458">
        <f>Summary!T120</f>
        <v>5388.9764844713518</v>
      </c>
      <c r="U7" s="458">
        <f>Summary!U120</f>
        <v>5412.7279359852582</v>
      </c>
      <c r="V7" s="458">
        <f>Summary!V120</f>
        <v>5436.5944974117056</v>
      </c>
      <c r="W7" s="458">
        <f>Summary!W120</f>
        <v>5460.5788215329558</v>
      </c>
      <c r="X7" s="458">
        <f>Summary!X120</f>
        <v>5484.6835657575211</v>
      </c>
      <c r="Y7" s="458">
        <f>Summary!Y120</f>
        <v>5508.9113911345148</v>
      </c>
      <c r="Z7" s="458">
        <f>Summary!Z120</f>
        <v>5533.2649614537904</v>
      </c>
      <c r="AA7" s="458">
        <f>Summary!AA120</f>
        <v>5553.9304418293705</v>
      </c>
      <c r="AB7" s="458">
        <f>Summary!AB120</f>
        <v>5557.1071626913963</v>
      </c>
      <c r="AC7" s="458">
        <f>Summary!AC120</f>
        <v>5560.3863541703604</v>
      </c>
      <c r="AD7" s="458">
        <f>Summary!AD120</f>
        <v>5563.7681838758745</v>
      </c>
      <c r="AE7" s="458">
        <f>Summary!AE120</f>
        <v>5567.2528195624927</v>
      </c>
      <c r="AF7" s="458">
        <f>Summary!AF120</f>
        <v>5570.840429371251</v>
      </c>
      <c r="AG7" s="458">
        <f>Summary!AG120</f>
        <v>5574.5311821039368</v>
      </c>
      <c r="AH7" s="458">
        <f>Summary!AH120</f>
        <v>5578.3252475253194</v>
      </c>
      <c r="AI7" s="458">
        <f>Summary!AI120</f>
        <v>5582.2227966888022</v>
      </c>
      <c r="AJ7" s="458">
        <f>Summary!AJ120</f>
        <v>5586.2240022811438</v>
      </c>
      <c r="AK7" s="458">
        <f>Summary!AK120</f>
        <v>5592.3788388268576</v>
      </c>
      <c r="AL7" s="458">
        <f>Summary!AL120</f>
        <v>5586.4899412509112</v>
      </c>
      <c r="AM7" s="458">
        <f>Summary!AM120</f>
        <v>5582.6545518116473</v>
      </c>
      <c r="AN7" s="458"/>
    </row>
    <row r="8" spans="2:42" ht="14" customHeight="1">
      <c r="B8" s="91" t="str">
        <f>CONCATENATE("Figures are copied from Summary tab, Row ",Summary!AO120, ".")</f>
        <v>Figures are copied from Summary tab, Row 120.</v>
      </c>
      <c r="I8" s="458"/>
      <c r="J8" s="458"/>
      <c r="K8" s="458"/>
      <c r="L8" s="458"/>
      <c r="M8" s="458"/>
      <c r="N8" s="458"/>
      <c r="O8" s="458"/>
      <c r="P8" s="458"/>
      <c r="Q8" s="458"/>
      <c r="R8" s="458"/>
      <c r="S8" s="458"/>
      <c r="T8" s="458"/>
      <c r="U8" s="458"/>
      <c r="V8" s="458"/>
      <c r="W8" s="458"/>
      <c r="X8" s="458"/>
      <c r="Y8" s="458"/>
      <c r="Z8" s="458"/>
      <c r="AA8" s="458"/>
      <c r="AB8" s="458"/>
      <c r="AC8" s="458"/>
      <c r="AD8" s="458"/>
      <c r="AE8" s="458"/>
      <c r="AF8" s="458"/>
      <c r="AG8" s="458"/>
      <c r="AH8" s="458"/>
      <c r="AI8" s="458"/>
      <c r="AJ8" s="458"/>
      <c r="AK8" s="458"/>
      <c r="AL8" s="458"/>
      <c r="AM8" s="458"/>
      <c r="AN8" s="458"/>
    </row>
    <row r="9" spans="2:42" ht="14" customHeight="1">
      <c r="B9" s="8" t="s">
        <v>341</v>
      </c>
      <c r="I9" s="458">
        <f>Summary!I129</f>
        <v>5906.108533464414</v>
      </c>
      <c r="J9" s="458">
        <f>Summary!J129</f>
        <v>5891.271635636268</v>
      </c>
      <c r="K9" s="458">
        <f>Summary!K129</f>
        <v>5938.7462515878469</v>
      </c>
      <c r="L9" s="458">
        <f>Summary!L129</f>
        <v>5771.9859539361714</v>
      </c>
      <c r="M9" s="458">
        <f>Summary!M129</f>
        <v>5406.4262424146846</v>
      </c>
      <c r="N9" s="458">
        <f>Summary!N129</f>
        <v>5596.3581267711561</v>
      </c>
      <c r="O9" s="458">
        <f>Summary!O129</f>
        <v>5458.6080318275599</v>
      </c>
      <c r="P9" s="458">
        <f>Summary!P129</f>
        <v>5220.6540028747349</v>
      </c>
      <c r="Q9" s="458">
        <f>Summary!Q129</f>
        <v>4191.9939255567197</v>
      </c>
      <c r="R9" s="458">
        <f>Summary!R129</f>
        <v>4219.8271313958867</v>
      </c>
      <c r="S9" s="458">
        <f>Summary!S129</f>
        <v>4247.728675551979</v>
      </c>
      <c r="T9" s="458">
        <f>Summary!T129</f>
        <v>4275.6999359240808</v>
      </c>
      <c r="U9" s="458">
        <f>Summary!U129</f>
        <v>4303.7423796323583</v>
      </c>
      <c r="V9" s="458">
        <f>Summary!V129</f>
        <v>4331.8575606678751</v>
      </c>
      <c r="W9" s="458">
        <f>Summary!W129</f>
        <v>4360.0471174485028</v>
      </c>
      <c r="X9" s="458">
        <f>Summary!X129</f>
        <v>4388.3127702944366</v>
      </c>
      <c r="Y9" s="458">
        <f>Summary!Y129</f>
        <v>4416.6563188366699</v>
      </c>
      <c r="Z9" s="458">
        <f>Summary!Z129</f>
        <v>4445.0796393713526</v>
      </c>
      <c r="AA9" s="458">
        <f>Summary!AA129</f>
        <v>4470.1908599402877</v>
      </c>
      <c r="AB9" s="458">
        <f>Summary!AB129</f>
        <v>4485.2146989256389</v>
      </c>
      <c r="AC9" s="458">
        <f>Summary!AC129</f>
        <v>4500.1728879728271</v>
      </c>
      <c r="AD9" s="458">
        <f>Summary!AD129</f>
        <v>4515.0675005247122</v>
      </c>
      <c r="AE9" s="458">
        <f>Summary!AE129</f>
        <v>4529.9006245295532</v>
      </c>
      <c r="AF9" s="458">
        <f>Summary!AF129</f>
        <v>4544.6743595948237</v>
      </c>
      <c r="AG9" s="458">
        <f>Summary!AG129</f>
        <v>4559.3908142686041</v>
      </c>
      <c r="AH9" s="458">
        <f>Summary!AH129</f>
        <v>4574.0521034534559</v>
      </c>
      <c r="AI9" s="458">
        <f>Summary!AI129</f>
        <v>4588.6603459567195</v>
      </c>
      <c r="AJ9" s="458">
        <f>Summary!AJ129</f>
        <v>4603.2176621802164</v>
      </c>
      <c r="AK9" s="458">
        <f>Summary!AK129</f>
        <v>4619.5791914627152</v>
      </c>
      <c r="AL9" s="458">
        <f>Summary!AL129</f>
        <v>4628.7272768794373</v>
      </c>
      <c r="AM9" s="458">
        <f>Summary!AM129</f>
        <v>4639.4914606747079</v>
      </c>
      <c r="AN9" s="458"/>
    </row>
    <row r="10" spans="2:42" ht="14" customHeight="1">
      <c r="B10" s="91" t="str">
        <f>CONCATENATE("Figures are copied from Summary tab, Row ",Summary!AO129, ".")</f>
        <v>Figures are copied from Summary tab, Row 129.</v>
      </c>
      <c r="I10" s="50"/>
      <c r="J10" s="50"/>
      <c r="K10" s="50"/>
      <c r="L10" s="50"/>
      <c r="M10" s="50"/>
      <c r="N10" s="50"/>
      <c r="O10" s="50"/>
      <c r="P10" s="50"/>
      <c r="Q10" s="50"/>
      <c r="R10" s="50"/>
      <c r="S10" s="50"/>
      <c r="T10" s="50"/>
      <c r="U10" s="50"/>
      <c r="V10" s="50"/>
      <c r="W10" s="50"/>
      <c r="X10" s="50"/>
      <c r="Y10" s="50"/>
    </row>
    <row r="12" spans="2:42" ht="14" customHeight="1">
      <c r="B12" s="563" t="s">
        <v>814</v>
      </c>
      <c r="C12" s="556"/>
      <c r="D12" s="556"/>
      <c r="E12" s="556"/>
      <c r="F12" s="556"/>
      <c r="G12" s="556"/>
      <c r="H12" s="557"/>
    </row>
    <row r="13" spans="2:42" ht="14" customHeight="1">
      <c r="B13" s="558" t="s">
        <v>812</v>
      </c>
      <c r="C13" s="545"/>
      <c r="D13" s="545"/>
      <c r="E13" s="545"/>
      <c r="F13" s="559">
        <f>Summary!$J$67</f>
        <v>55.405615062708264</v>
      </c>
      <c r="G13" s="545"/>
      <c r="H13" s="548"/>
    </row>
    <row r="14" spans="2:42" ht="14" customHeight="1">
      <c r="B14" s="558" t="s">
        <v>816</v>
      </c>
      <c r="C14" s="545"/>
      <c r="D14" s="545"/>
      <c r="E14" s="545"/>
      <c r="F14" s="688" t="str">
        <f>IF(Summary!$J$69=1,CONCATENATE("$",Summary!$J$71,""),CONCATENATE("",Summary!$J$75*100,"%"))</f>
        <v>$0</v>
      </c>
      <c r="G14" s="545"/>
      <c r="H14" s="548"/>
      <c r="J14" s="565"/>
    </row>
    <row r="15" spans="2:42" ht="14" customHeight="1">
      <c r="B15" s="558" t="s">
        <v>813</v>
      </c>
      <c r="C15" s="546"/>
      <c r="D15" s="545"/>
      <c r="E15" s="545"/>
      <c r="F15" s="545" t="str">
        <f>IF(Summary!$J$79="Nominal","No inflation indexing","Carbon tax is indexed to inflation")</f>
        <v>Carbon tax is indexed to inflation</v>
      </c>
      <c r="G15" s="545"/>
      <c r="H15" s="548"/>
      <c r="M15" s="50"/>
      <c r="N15" s="50"/>
      <c r="O15" s="50"/>
      <c r="P15" s="81"/>
      <c r="Q15" s="81"/>
      <c r="R15" s="81"/>
      <c r="S15" s="81"/>
      <c r="T15" s="81"/>
      <c r="U15" s="81"/>
      <c r="V15" s="81"/>
      <c r="W15" s="81"/>
      <c r="X15" s="81"/>
      <c r="Y15" s="81"/>
    </row>
    <row r="16" spans="2:42" ht="14" customHeight="1">
      <c r="B16" s="560" t="s">
        <v>815</v>
      </c>
      <c r="C16" s="561"/>
      <c r="D16" s="551"/>
      <c r="E16" s="551"/>
      <c r="F16" s="566">
        <f>Summary!$J$92</f>
        <v>2015</v>
      </c>
      <c r="G16" s="551"/>
      <c r="H16" s="562"/>
      <c r="M16" s="50"/>
      <c r="N16" s="50"/>
      <c r="O16" s="50"/>
      <c r="P16" s="81"/>
      <c r="Q16" s="81"/>
      <c r="R16" s="81"/>
      <c r="S16" s="81"/>
      <c r="T16" s="81"/>
      <c r="U16" s="81"/>
      <c r="V16" s="81"/>
      <c r="W16" s="81"/>
      <c r="X16" s="81"/>
      <c r="Y16" s="81"/>
    </row>
    <row r="17" spans="2:33" ht="14" customHeight="1">
      <c r="B17" s="134"/>
      <c r="C17" s="8"/>
      <c r="M17" s="50"/>
      <c r="N17" s="50"/>
      <c r="O17" s="50"/>
      <c r="P17" s="81"/>
      <c r="Q17" s="81"/>
      <c r="R17" s="81"/>
      <c r="S17" s="81"/>
      <c r="T17" s="81"/>
      <c r="U17" s="81"/>
      <c r="V17" s="81"/>
      <c r="W17" s="81"/>
      <c r="X17" s="50"/>
      <c r="Y17" s="50"/>
      <c r="Z17" s="50"/>
      <c r="AA17" s="81"/>
      <c r="AB17" s="81"/>
      <c r="AC17" s="81"/>
      <c r="AD17" s="81"/>
      <c r="AE17" s="81"/>
      <c r="AF17" s="81"/>
      <c r="AG17" s="81"/>
    </row>
    <row r="42" spans="2:45" ht="14" customHeight="1">
      <c r="B42" s="8" t="s">
        <v>372</v>
      </c>
    </row>
    <row r="43" spans="2:45" ht="14" customHeight="1">
      <c r="B43" s="8"/>
    </row>
    <row r="44" spans="2:45" ht="14" customHeight="1">
      <c r="B44" s="8" t="s">
        <v>659</v>
      </c>
      <c r="I44" s="87">
        <f>Summary!I120</f>
        <v>5906.108533464414</v>
      </c>
      <c r="J44" s="87">
        <f>Summary!J120</f>
        <v>5891.271635636268</v>
      </c>
      <c r="K44" s="87">
        <f>Summary!K120</f>
        <v>5938.7462515878469</v>
      </c>
      <c r="L44" s="87">
        <f>Summary!L120</f>
        <v>5771.9859539361714</v>
      </c>
      <c r="M44" s="87">
        <f>Summary!M120</f>
        <v>5406.4262424146846</v>
      </c>
      <c r="N44" s="87">
        <f>Summary!N120</f>
        <v>5596.3581267711561</v>
      </c>
      <c r="O44" s="87">
        <f>Summary!O120</f>
        <v>5458.6080318275599</v>
      </c>
      <c r="P44" s="87">
        <f>Summary!P120</f>
        <v>5220.6540028747349</v>
      </c>
      <c r="Q44" s="87">
        <f>Summary!P120</f>
        <v>5220.6540028747349</v>
      </c>
      <c r="R44" s="87">
        <f>Summary!Q120</f>
        <v>5318.3863541686651</v>
      </c>
      <c r="S44" s="87">
        <f>Summary!R120</f>
        <v>5341.8083297183057</v>
      </c>
      <c r="T44" s="87">
        <f>Summary!S120</f>
        <v>5365.3374957879878</v>
      </c>
      <c r="U44" s="87">
        <f>Summary!T120</f>
        <v>5388.9764844713518</v>
      </c>
      <c r="V44" s="87">
        <f>Summary!U120</f>
        <v>5412.7279359852582</v>
      </c>
      <c r="W44" s="87">
        <f>Summary!V120</f>
        <v>5436.5944974117056</v>
      </c>
      <c r="X44" s="87">
        <f>Summary!W120</f>
        <v>5460.5788215329558</v>
      </c>
      <c r="Y44" s="87">
        <f>Summary!X120</f>
        <v>5484.6835657575211</v>
      </c>
      <c r="Z44" s="87">
        <f>Summary!Y120</f>
        <v>5508.9113911345148</v>
      </c>
      <c r="AA44" s="87">
        <f>Summary!Z120</f>
        <v>5533.2649614537904</v>
      </c>
      <c r="AB44" s="87">
        <f>Summary!AA120</f>
        <v>5553.9304418293705</v>
      </c>
      <c r="AC44" s="87">
        <f>Summary!AB120</f>
        <v>5557.1071626913963</v>
      </c>
      <c r="AD44" s="87">
        <f>Summary!AC120</f>
        <v>5560.3863541703604</v>
      </c>
      <c r="AE44" s="87">
        <f>Summary!AD120</f>
        <v>5563.7681838758745</v>
      </c>
      <c r="AF44" s="87">
        <f>Summary!AE120</f>
        <v>5567.2528195624927</v>
      </c>
      <c r="AG44" s="87">
        <f>Summary!AF120</f>
        <v>5570.840429371251</v>
      </c>
      <c r="AH44" s="87">
        <f>Summary!AG120</f>
        <v>5574.5311821039368</v>
      </c>
      <c r="AI44" s="87">
        <f>Summary!AH120</f>
        <v>5578.3252475253194</v>
      </c>
      <c r="AJ44" s="87">
        <f>Summary!AI120</f>
        <v>5582.2227966888022</v>
      </c>
      <c r="AK44" s="87">
        <f>Summary!AJ120</f>
        <v>5586.2240022811438</v>
      </c>
      <c r="AL44" s="87">
        <f>Summary!AK120</f>
        <v>5592.3788388268576</v>
      </c>
      <c r="AM44" s="87">
        <f>Summary!AL120</f>
        <v>5586.4899412509112</v>
      </c>
      <c r="AQ44" s="87"/>
      <c r="AR44" s="87"/>
      <c r="AS44" s="6">
        <f>ROW()</f>
        <v>44</v>
      </c>
    </row>
    <row r="45" spans="2:45" ht="14" customHeight="1">
      <c r="B45" s="32" t="str">
        <f>Summary!B121</f>
        <v xml:space="preserve">  from Electricity</v>
      </c>
      <c r="I45" s="18">
        <f>Summary!I121</f>
        <v>2414.2999999999997</v>
      </c>
      <c r="J45" s="18">
        <f>Summary!J121</f>
        <v>2358.6</v>
      </c>
      <c r="K45" s="18">
        <f>Summary!K121</f>
        <v>2425.1999999999998</v>
      </c>
      <c r="L45" s="18">
        <f>Summary!L121</f>
        <v>2372.4</v>
      </c>
      <c r="M45" s="18">
        <f>Summary!M121</f>
        <v>2157.7999999999997</v>
      </c>
      <c r="N45" s="18">
        <f>Summary!N121</f>
        <v>2270.7999999999997</v>
      </c>
      <c r="O45" s="18">
        <f>Summary!O121</f>
        <v>2170</v>
      </c>
      <c r="P45" s="18">
        <f>Summary!P121</f>
        <v>2035.4943018923852</v>
      </c>
      <c r="Q45" s="18">
        <f>Summary!P121</f>
        <v>2035.4943018923852</v>
      </c>
      <c r="R45" s="18">
        <f>Summary!Q121</f>
        <v>2044.6187394042292</v>
      </c>
      <c r="S45" s="18">
        <f>Summary!R121</f>
        <v>2045.0912286096363</v>
      </c>
      <c r="T45" s="18">
        <f>Summary!S121</f>
        <v>2045.5638270021711</v>
      </c>
      <c r="U45" s="18">
        <f>Summary!T121</f>
        <v>2046.0365346070676</v>
      </c>
      <c r="V45" s="18">
        <f>Summary!U121</f>
        <v>2046.5093514495618</v>
      </c>
      <c r="W45" s="18">
        <f>Summary!V121</f>
        <v>2046.982277554898</v>
      </c>
      <c r="X45" s="18">
        <f>Summary!W121</f>
        <v>2047.4553129483256</v>
      </c>
      <c r="Y45" s="18">
        <f>Summary!X121</f>
        <v>2047.9284576551001</v>
      </c>
      <c r="Z45" s="18">
        <f>Summary!Y121</f>
        <v>2048.4017117004832</v>
      </c>
      <c r="AA45" s="18">
        <f>Summary!Z121</f>
        <v>2048.87507510974</v>
      </c>
      <c r="AB45" s="18">
        <f>Summary!AA121</f>
        <v>2049.3485479081446</v>
      </c>
      <c r="AC45" s="18">
        <f>Summary!AB121</f>
        <v>2034.9401839706798</v>
      </c>
      <c r="AD45" s="18">
        <f>Summary!AC121</f>
        <v>2020.6331209815414</v>
      </c>
      <c r="AE45" s="18">
        <f>Summary!AD121</f>
        <v>2006.4266467237019</v>
      </c>
      <c r="AF45" s="18">
        <f>Summary!AE121</f>
        <v>1992.3200539875218</v>
      </c>
      <c r="AG45" s="18">
        <f>Summary!AF121</f>
        <v>1978.3126405355426</v>
      </c>
      <c r="AH45" s="18">
        <f>Summary!AG121</f>
        <v>1964.4037090675315</v>
      </c>
      <c r="AI45" s="18">
        <f>Summary!AH121</f>
        <v>1950.5925671857647</v>
      </c>
      <c r="AJ45" s="18">
        <f>Summary!AI121</f>
        <v>1936.8785273605654</v>
      </c>
      <c r="AK45" s="18">
        <f>Summary!AJ121</f>
        <v>1923.2609068960726</v>
      </c>
      <c r="AL45" s="18">
        <f>Summary!AK121</f>
        <v>1909.7390278962591</v>
      </c>
      <c r="AM45" s="18">
        <f>Summary!AL121</f>
        <v>1887.5936351447815</v>
      </c>
      <c r="AQ45" s="18"/>
      <c r="AR45" s="18"/>
      <c r="AS45" s="6">
        <f>ROW()</f>
        <v>45</v>
      </c>
    </row>
    <row r="46" spans="2:45" ht="14" customHeight="1">
      <c r="B46" s="32" t="str">
        <f>Summary!B122</f>
        <v xml:space="preserve">  from Personal Ground Travel</v>
      </c>
      <c r="I46" s="18">
        <f>Summary!I122</f>
        <v>1246.2197147552799</v>
      </c>
      <c r="J46" s="18">
        <f>Summary!J122</f>
        <v>1256.2061927521904</v>
      </c>
      <c r="K46" s="18">
        <f>Summary!K122</f>
        <v>1264.0552866209557</v>
      </c>
      <c r="L46" s="18">
        <f>Summary!L122</f>
        <v>1223.0844262191999</v>
      </c>
      <c r="M46" s="18">
        <f>Summary!M122</f>
        <v>1222.6603237093377</v>
      </c>
      <c r="N46" s="18">
        <f>Summary!N122</f>
        <v>1229.2205105919218</v>
      </c>
      <c r="O46" s="18">
        <f>Summary!O122</f>
        <v>1188.6555205099994</v>
      </c>
      <c r="P46" s="18">
        <f>Summary!P122</f>
        <v>1184.1450943945235</v>
      </c>
      <c r="Q46" s="18">
        <f>Summary!P122</f>
        <v>1184.1450943945235</v>
      </c>
      <c r="R46" s="18">
        <f>Summary!Q122</f>
        <v>1209.9653133237102</v>
      </c>
      <c r="S46" s="18">
        <f>Summary!R122</f>
        <v>1218.6965651620922</v>
      </c>
      <c r="T46" s="18">
        <f>Summary!S122</f>
        <v>1227.4908227394203</v>
      </c>
      <c r="U46" s="18">
        <f>Summary!T122</f>
        <v>1236.3485407125083</v>
      </c>
      <c r="V46" s="18">
        <f>Summary!U122</f>
        <v>1245.2701770190267</v>
      </c>
      <c r="W46" s="18">
        <f>Summary!V122</f>
        <v>1254.2561929011786</v>
      </c>
      <c r="X46" s="18">
        <f>Summary!W122</f>
        <v>1263.3070529295442</v>
      </c>
      <c r="Y46" s="18">
        <f>Summary!X122</f>
        <v>1272.4232250270998</v>
      </c>
      <c r="Z46" s="18">
        <f>Summary!Y122</f>
        <v>1281.6051804934093</v>
      </c>
      <c r="AA46" s="18">
        <f>Summary!Z122</f>
        <v>1290.8533940289897</v>
      </c>
      <c r="AB46" s="18">
        <f>Summary!AA122</f>
        <v>1298.544326890684</v>
      </c>
      <c r="AC46" s="18">
        <f>Summary!AB122</f>
        <v>1306.2810824992191</v>
      </c>
      <c r="AD46" s="18">
        <f>Summary!AC122</f>
        <v>1314.0639338675269</v>
      </c>
      <c r="AE46" s="18">
        <f>Summary!AD122</f>
        <v>1321.8931556351556</v>
      </c>
      <c r="AF46" s="18">
        <f>Summary!AE122</f>
        <v>1329.769024077963</v>
      </c>
      <c r="AG46" s="18">
        <f>Summary!AF122</f>
        <v>1337.6918171178631</v>
      </c>
      <c r="AH46" s="18">
        <f>Summary!AG122</f>
        <v>1345.6618143326366</v>
      </c>
      <c r="AI46" s="18">
        <f>Summary!AH122</f>
        <v>1353.6792969657929</v>
      </c>
      <c r="AJ46" s="18">
        <f>Summary!AI122</f>
        <v>1361.7445479364976</v>
      </c>
      <c r="AK46" s="18">
        <f>Summary!AJ122</f>
        <v>1369.8578518495544</v>
      </c>
      <c r="AL46" s="18">
        <f>Summary!AK122</f>
        <v>1378.9130954833054</v>
      </c>
      <c r="AM46" s="18">
        <f>Summary!AL122</f>
        <v>1388.0281974718155</v>
      </c>
      <c r="AQ46" s="18"/>
      <c r="AR46" s="18"/>
      <c r="AS46" s="6">
        <f>ROW()</f>
        <v>46</v>
      </c>
    </row>
    <row r="47" spans="2:45" ht="14" customHeight="1">
      <c r="B47" s="32" t="str">
        <f>Summary!B123</f>
        <v xml:space="preserve">  from Freight (Goods Movement)</v>
      </c>
      <c r="I47" s="18">
        <f>Summary!I123</f>
        <v>514.33831318509306</v>
      </c>
      <c r="J47" s="18">
        <f>Summary!J123</f>
        <v>520.72193808811414</v>
      </c>
      <c r="K47" s="18">
        <f>Summary!K123</f>
        <v>524.06800169899134</v>
      </c>
      <c r="L47" s="18">
        <f>Summary!L123</f>
        <v>492.78062079101261</v>
      </c>
      <c r="M47" s="18">
        <f>Summary!M123</f>
        <v>453.52089048839792</v>
      </c>
      <c r="N47" s="18">
        <f>Summary!N123</f>
        <v>474.65767081197976</v>
      </c>
      <c r="O47" s="18">
        <f>Summary!O123</f>
        <v>486.96528963302654</v>
      </c>
      <c r="P47" s="18">
        <f>Summary!P123</f>
        <v>467.46444589680084</v>
      </c>
      <c r="Q47" s="18">
        <f>Summary!P123</f>
        <v>467.46444589680084</v>
      </c>
      <c r="R47" s="18">
        <f>Summary!Q123</f>
        <v>472.87093502610531</v>
      </c>
      <c r="S47" s="18">
        <f>Summary!R123</f>
        <v>474.63452162710308</v>
      </c>
      <c r="T47" s="18">
        <f>Summary!S123</f>
        <v>476.37935301875177</v>
      </c>
      <c r="U47" s="18">
        <f>Summary!T123</f>
        <v>478.1057533672132</v>
      </c>
      <c r="V47" s="18">
        <f>Summary!U123</f>
        <v>479.81404904838757</v>
      </c>
      <c r="W47" s="18">
        <f>Summary!V123</f>
        <v>481.50456817790763</v>
      </c>
      <c r="X47" s="18">
        <f>Summary!W123</f>
        <v>483.17764016167342</v>
      </c>
      <c r="Y47" s="18">
        <f>Summary!X123</f>
        <v>484.8335952668416</v>
      </c>
      <c r="Z47" s="18">
        <f>Summary!Y123</f>
        <v>486.47276421311676</v>
      </c>
      <c r="AA47" s="18">
        <f>Summary!Z123</f>
        <v>488.09547778414606</v>
      </c>
      <c r="AB47" s="18">
        <f>Summary!AA123</f>
        <v>489.09038842443488</v>
      </c>
      <c r="AC47" s="18">
        <f>Summary!AB123</f>
        <v>490.06629644777274</v>
      </c>
      <c r="AD47" s="18">
        <f>Summary!AC123</f>
        <v>491.02359506363314</v>
      </c>
      <c r="AE47" s="18">
        <f>Summary!AD123</f>
        <v>491.96267439701165</v>
      </c>
      <c r="AF47" s="18">
        <f>Summary!AE123</f>
        <v>492.88392121092937</v>
      </c>
      <c r="AG47" s="18">
        <f>Summary!AF123</f>
        <v>493.78771864890001</v>
      </c>
      <c r="AH47" s="18">
        <f>Summary!AG123</f>
        <v>494.6744459967336</v>
      </c>
      <c r="AI47" s="18">
        <f>Summary!AH123</f>
        <v>495.54447846303339</v>
      </c>
      <c r="AJ47" s="18">
        <f>Summary!AI123</f>
        <v>496.39818697773131</v>
      </c>
      <c r="AK47" s="18">
        <f>Summary!AJ123</f>
        <v>497.23593800799983</v>
      </c>
      <c r="AL47" s="18">
        <f>Summary!AK123</f>
        <v>498.38106774055944</v>
      </c>
      <c r="AM47" s="18">
        <f>Summary!AL123</f>
        <v>499.51221517706398</v>
      </c>
      <c r="AQ47" s="18"/>
      <c r="AR47" s="18"/>
      <c r="AS47" s="6">
        <f>ROW()</f>
        <v>47</v>
      </c>
    </row>
    <row r="48" spans="2:45" ht="14" customHeight="1">
      <c r="B48" s="32" t="str">
        <f>Summary!B124</f>
        <v xml:space="preserve">  from Aviation</v>
      </c>
      <c r="I48" s="18">
        <f>Summary!I124</f>
        <v>249.0948557748321</v>
      </c>
      <c r="J48" s="18">
        <f>Summary!J124</f>
        <v>242.18095297452081</v>
      </c>
      <c r="K48" s="18">
        <f>Summary!K124</f>
        <v>240.49131159641982</v>
      </c>
      <c r="L48" s="18">
        <f>Summary!L124</f>
        <v>227.92527308794266</v>
      </c>
      <c r="M48" s="18">
        <f>Summary!M124</f>
        <v>206.47097871471823</v>
      </c>
      <c r="N48" s="18">
        <f>Summary!N124</f>
        <v>212.0189694989798</v>
      </c>
      <c r="O48" s="18">
        <f>Summary!O124</f>
        <v>211.22644129636862</v>
      </c>
      <c r="P48" s="18">
        <f>Summary!P124</f>
        <v>207.27186784784001</v>
      </c>
      <c r="Q48" s="18">
        <f>Summary!P124</f>
        <v>207.27186784784001</v>
      </c>
      <c r="R48" s="18">
        <f>Summary!Q124</f>
        <v>206.87215757981824</v>
      </c>
      <c r="S48" s="18">
        <f>Summary!R124</f>
        <v>207.75547174028901</v>
      </c>
      <c r="T48" s="18">
        <f>Summary!S124</f>
        <v>208.631784785908</v>
      </c>
      <c r="U48" s="18">
        <f>Summary!T124</f>
        <v>209.50133259161456</v>
      </c>
      <c r="V48" s="18">
        <f>Summary!U124</f>
        <v>210.3643474186521</v>
      </c>
      <c r="W48" s="18">
        <f>Summary!V124</f>
        <v>211.22105778695243</v>
      </c>
      <c r="X48" s="18">
        <f>Summary!W124</f>
        <v>212.07168836448051</v>
      </c>
      <c r="Y48" s="18">
        <f>Summary!X124</f>
        <v>212.91645987254336</v>
      </c>
      <c r="Z48" s="18">
        <f>Summary!Y124</f>
        <v>213.7555890060903</v>
      </c>
      <c r="AA48" s="18">
        <f>Summary!Z124</f>
        <v>214.58928836805867</v>
      </c>
      <c r="AB48" s="18">
        <f>Summary!AA124</f>
        <v>215.01428079884315</v>
      </c>
      <c r="AC48" s="18">
        <f>Summary!AB124</f>
        <v>215.43193007558975</v>
      </c>
      <c r="AD48" s="18">
        <f>Summary!AC124</f>
        <v>215.84247051508947</v>
      </c>
      <c r="AE48" s="18">
        <f>Summary!AD124</f>
        <v>216.24613061896346</v>
      </c>
      <c r="AF48" s="18">
        <f>Summary!AE124</f>
        <v>216.64313311191191</v>
      </c>
      <c r="AG48" s="18">
        <f>Summary!AF124</f>
        <v>217.03369498874665</v>
      </c>
      <c r="AH48" s="18">
        <f>Summary!AG124</f>
        <v>217.4180275693827</v>
      </c>
      <c r="AI48" s="18">
        <f>Summary!AH124</f>
        <v>217.79633656101154</v>
      </c>
      <c r="AJ48" s="18">
        <f>Summary!AI124</f>
        <v>218.16882212671982</v>
      </c>
      <c r="AK48" s="18">
        <f>Summary!AJ124</f>
        <v>218.5356789598635</v>
      </c>
      <c r="AL48" s="18">
        <f>Summary!AK124</f>
        <v>219.11005226689633</v>
      </c>
      <c r="AM48" s="18">
        <f>Summary!AL124</f>
        <v>219.68007064476214</v>
      </c>
      <c r="AQ48" s="18"/>
      <c r="AR48" s="18"/>
      <c r="AS48" s="6">
        <f>ROW()</f>
        <v>48</v>
      </c>
    </row>
    <row r="49" spans="2:45" ht="14" customHeight="1">
      <c r="B49" s="32" t="str">
        <f>Summary!B125</f>
        <v xml:space="preserve">  from "Other" - Petroleum Products</v>
      </c>
      <c r="I49" s="18">
        <f>Summary!I125</f>
        <v>896.21332613010907</v>
      </c>
      <c r="J49" s="18">
        <f>Summary!J125</f>
        <v>970.97164090567469</v>
      </c>
      <c r="K49" s="18">
        <f>Summary!K125</f>
        <v>909.73046037842676</v>
      </c>
      <c r="L49" s="18">
        <f>Summary!L125</f>
        <v>887.79622490450151</v>
      </c>
      <c r="M49" s="18">
        <f>Summary!M125</f>
        <v>858.5227817617332</v>
      </c>
      <c r="N49" s="18">
        <f>Summary!N125</f>
        <v>874.34349600338328</v>
      </c>
      <c r="O49" s="18">
        <f>Summary!O125</f>
        <v>882.55835891667039</v>
      </c>
      <c r="P49" s="18">
        <f>Summary!P125</f>
        <v>799.99115607948818</v>
      </c>
      <c r="Q49" s="18">
        <f>Summary!P125</f>
        <v>799.99115607948818</v>
      </c>
      <c r="R49" s="18">
        <f>Summary!Q125</f>
        <v>809.26610399751883</v>
      </c>
      <c r="S49" s="18">
        <f>Summary!R125</f>
        <v>812.28323390515288</v>
      </c>
      <c r="T49" s="18">
        <f>Summary!S125</f>
        <v>815.26417835015582</v>
      </c>
      <c r="U49" s="18">
        <f>Summary!T125</f>
        <v>818.20958260623422</v>
      </c>
      <c r="V49" s="18">
        <f>Summary!U125</f>
        <v>821.12009115869671</v>
      </c>
      <c r="W49" s="18">
        <f>Summary!V125</f>
        <v>823.99634686336879</v>
      </c>
      <c r="X49" s="18">
        <f>Summary!W125</f>
        <v>826.83899015700024</v>
      </c>
      <c r="Y49" s="18">
        <f>Summary!X125</f>
        <v>829.64865831794657</v>
      </c>
      <c r="Z49" s="18">
        <f>Summary!Y125</f>
        <v>832.42598477581043</v>
      </c>
      <c r="AA49" s="18">
        <f>Summary!Z125</f>
        <v>835.17159846865184</v>
      </c>
      <c r="AB49" s="18">
        <f>Summary!AA125</f>
        <v>836.70880316800265</v>
      </c>
      <c r="AC49" s="18">
        <f>Summary!AB125</f>
        <v>838.20965395317057</v>
      </c>
      <c r="AD49" s="18">
        <f>Summary!AC125</f>
        <v>839.67490212974587</v>
      </c>
      <c r="AE49" s="18">
        <f>Summary!AD125</f>
        <v>841.10528861125476</v>
      </c>
      <c r="AF49" s="18">
        <f>Summary!AE125</f>
        <v>842.50154355363793</v>
      </c>
      <c r="AG49" s="18">
        <f>Summary!AF125</f>
        <v>843.86438603101203</v>
      </c>
      <c r="AH49" s="18">
        <f>Summary!AG125</f>
        <v>845.19452375072956</v>
      </c>
      <c r="AI49" s="18">
        <f>Summary!AH125</f>
        <v>846.49265280576049</v>
      </c>
      <c r="AJ49" s="18">
        <f>Summary!AI125</f>
        <v>847.75945746245918</v>
      </c>
      <c r="AK49" s="18">
        <f>Summary!AJ125</f>
        <v>848.99560998181084</v>
      </c>
      <c r="AL49" s="18">
        <f>Summary!AK125</f>
        <v>850.82203958612649</v>
      </c>
      <c r="AM49" s="18">
        <f>Summary!AL125</f>
        <v>852.62129525199566</v>
      </c>
      <c r="AQ49" s="18"/>
      <c r="AR49" s="18"/>
      <c r="AS49" s="6">
        <f>ROW()</f>
        <v>49</v>
      </c>
    </row>
    <row r="50" spans="2:45" ht="14" customHeight="1">
      <c r="B50" s="32" t="str">
        <f>Summary!B126</f>
        <v xml:space="preserve">  from "Other" - Natural Gas</v>
      </c>
      <c r="I50" s="18">
        <f>Summary!I126</f>
        <v>585.94232361910008</v>
      </c>
      <c r="J50" s="18">
        <f>Summary!J126</f>
        <v>542.5909109157684</v>
      </c>
      <c r="K50" s="18">
        <f>Summary!K126</f>
        <v>575.20119129305317</v>
      </c>
      <c r="L50" s="18">
        <f>Summary!L126</f>
        <v>567.99940893351527</v>
      </c>
      <c r="M50" s="18">
        <f>Summary!M126</f>
        <v>507.45126774049845</v>
      </c>
      <c r="N50" s="18">
        <f>Summary!N126</f>
        <v>535.31747986489199</v>
      </c>
      <c r="O50" s="18">
        <f>Summary!O126</f>
        <v>519.20242147149497</v>
      </c>
      <c r="P50" s="18">
        <f>Summary!P126</f>
        <v>526.28713676369762</v>
      </c>
      <c r="Q50" s="18">
        <f>Summary!P126</f>
        <v>526.28713676369762</v>
      </c>
      <c r="R50" s="18">
        <f>Summary!Q126</f>
        <v>574.79310483728295</v>
      </c>
      <c r="S50" s="18">
        <f>Summary!R126</f>
        <v>583.34730867403255</v>
      </c>
      <c r="T50" s="18">
        <f>Summary!S126</f>
        <v>592.00752989158036</v>
      </c>
      <c r="U50" s="18">
        <f>Summary!T126</f>
        <v>600.77474058671385</v>
      </c>
      <c r="V50" s="18">
        <f>Summary!U126</f>
        <v>609.64991989093323</v>
      </c>
      <c r="W50" s="18">
        <f>Summary!V126</f>
        <v>618.63405412740042</v>
      </c>
      <c r="X50" s="18">
        <f>Summary!W126</f>
        <v>627.7281369719326</v>
      </c>
      <c r="Y50" s="18">
        <f>Summary!X126</f>
        <v>636.93316961798985</v>
      </c>
      <c r="Z50" s="18">
        <f>Summary!Y126</f>
        <v>646.25016094560488</v>
      </c>
      <c r="AA50" s="18">
        <f>Summary!Z126</f>
        <v>655.68012769420454</v>
      </c>
      <c r="AB50" s="18">
        <f>Summary!AA126</f>
        <v>665.22409463926135</v>
      </c>
      <c r="AC50" s="18">
        <f>Summary!AB126</f>
        <v>672.17801574496355</v>
      </c>
      <c r="AD50" s="18">
        <f>Summary!AC126</f>
        <v>679.14833161282331</v>
      </c>
      <c r="AE50" s="18">
        <f>Summary!AD126</f>
        <v>686.13428788978683</v>
      </c>
      <c r="AF50" s="18">
        <f>Summary!AE126</f>
        <v>693.13514362052911</v>
      </c>
      <c r="AG50" s="18">
        <f>Summary!AF126</f>
        <v>700.15017204918706</v>
      </c>
      <c r="AH50" s="18">
        <f>Summary!AG126</f>
        <v>707.17866138692341</v>
      </c>
      <c r="AI50" s="18">
        <f>Summary!AH126</f>
        <v>714.21991554395584</v>
      </c>
      <c r="AJ50" s="18">
        <f>Summary!AI126</f>
        <v>721.27325482482843</v>
      </c>
      <c r="AK50" s="18">
        <f>Summary!AJ126</f>
        <v>728.33801658584207</v>
      </c>
      <c r="AL50" s="18">
        <f>Summary!AK126</f>
        <v>735.41355585371116</v>
      </c>
      <c r="AM50" s="18">
        <f>Summary!AL126</f>
        <v>739.0545275604926</v>
      </c>
      <c r="AQ50" s="18"/>
      <c r="AR50" s="18"/>
      <c r="AS50" s="6">
        <f>ROW()</f>
        <v>50</v>
      </c>
    </row>
    <row r="51" spans="2:45" ht="14" customHeight="1">
      <c r="B51" s="90" t="str">
        <f>CONCATENATE("This array is copied from 'Summary' tab, Rows ",Summary!AO120, "-",Summary!AO126, ".")</f>
        <v>This array is copied from 'Summary' tab, Rows 120-126.</v>
      </c>
    </row>
    <row r="53" spans="2:45" ht="14" customHeight="1">
      <c r="B53" s="8" t="s">
        <v>358</v>
      </c>
      <c r="I53" s="258">
        <f>I6</f>
        <v>2005</v>
      </c>
      <c r="J53" s="258">
        <f>J6</f>
        <v>2006</v>
      </c>
      <c r="K53" s="258">
        <f>K6</f>
        <v>2007</v>
      </c>
      <c r="L53" s="258">
        <f>L6</f>
        <v>2008</v>
      </c>
      <c r="M53" s="258">
        <f t="shared" ref="M53:AM53" si="0">M6</f>
        <v>2009</v>
      </c>
      <c r="N53" s="258">
        <f t="shared" si="0"/>
        <v>2010</v>
      </c>
      <c r="O53" s="258">
        <f t="shared" si="0"/>
        <v>2011</v>
      </c>
      <c r="P53" s="258">
        <f t="shared" si="0"/>
        <v>2012</v>
      </c>
      <c r="Q53" s="258">
        <f t="shared" si="0"/>
        <v>2015</v>
      </c>
      <c r="R53" s="258">
        <f t="shared" si="0"/>
        <v>2016</v>
      </c>
      <c r="S53" s="258">
        <f t="shared" si="0"/>
        <v>2017</v>
      </c>
      <c r="T53" s="258">
        <f t="shared" si="0"/>
        <v>2018</v>
      </c>
      <c r="U53" s="258">
        <f t="shared" si="0"/>
        <v>2019</v>
      </c>
      <c r="V53" s="258">
        <f t="shared" si="0"/>
        <v>2020</v>
      </c>
      <c r="W53" s="258">
        <f t="shared" si="0"/>
        <v>2021</v>
      </c>
      <c r="X53" s="258">
        <f t="shared" si="0"/>
        <v>2022</v>
      </c>
      <c r="Y53" s="258">
        <f t="shared" si="0"/>
        <v>2023</v>
      </c>
      <c r="Z53" s="258">
        <f t="shared" si="0"/>
        <v>2024</v>
      </c>
      <c r="AA53" s="258">
        <f t="shared" si="0"/>
        <v>2025</v>
      </c>
      <c r="AB53" s="258">
        <f t="shared" si="0"/>
        <v>2026</v>
      </c>
      <c r="AC53" s="258">
        <f t="shared" si="0"/>
        <v>2027</v>
      </c>
      <c r="AD53" s="258">
        <f t="shared" si="0"/>
        <v>2028</v>
      </c>
      <c r="AE53" s="258">
        <f t="shared" si="0"/>
        <v>2029</v>
      </c>
      <c r="AF53" s="258">
        <f t="shared" si="0"/>
        <v>2030</v>
      </c>
      <c r="AG53" s="258">
        <f t="shared" si="0"/>
        <v>2031</v>
      </c>
      <c r="AH53" s="258">
        <f t="shared" si="0"/>
        <v>2032</v>
      </c>
      <c r="AI53" s="258">
        <f t="shared" si="0"/>
        <v>2033</v>
      </c>
      <c r="AJ53" s="258">
        <f t="shared" si="0"/>
        <v>2034</v>
      </c>
      <c r="AK53" s="258">
        <f t="shared" si="0"/>
        <v>2035</v>
      </c>
      <c r="AL53" s="258">
        <f t="shared" si="0"/>
        <v>2036</v>
      </c>
      <c r="AM53" s="258">
        <f t="shared" si="0"/>
        <v>2037</v>
      </c>
      <c r="AN53" s="258"/>
      <c r="AO53" s="258"/>
      <c r="AP53" s="258"/>
      <c r="AS53" s="6">
        <f>ROW()</f>
        <v>53</v>
      </c>
    </row>
    <row r="55" spans="2:45" ht="14" customHeight="1">
      <c r="B55" s="8" t="str">
        <f>Summary!B129</f>
        <v>CO2 emissions, million metric tons, with carbon tax incremented at levels inputted above</v>
      </c>
      <c r="I55" s="87">
        <f>Summary!I129</f>
        <v>5906.108533464414</v>
      </c>
      <c r="J55" s="87">
        <f>Summary!J129</f>
        <v>5891.271635636268</v>
      </c>
      <c r="K55" s="87">
        <f>Summary!K129</f>
        <v>5938.7462515878469</v>
      </c>
      <c r="L55" s="87">
        <f>Summary!L129</f>
        <v>5771.9859539361714</v>
      </c>
      <c r="M55" s="87">
        <f>Summary!M129</f>
        <v>5406.4262424146846</v>
      </c>
      <c r="N55" s="87">
        <f>Summary!N129</f>
        <v>5596.3581267711561</v>
      </c>
      <c r="O55" s="87">
        <f>Summary!O129</f>
        <v>5458.6080318275599</v>
      </c>
      <c r="P55" s="87">
        <f>Summary!P129</f>
        <v>5220.6540028747349</v>
      </c>
      <c r="Q55" s="87">
        <f>Summary!Q129</f>
        <v>4191.9939255567197</v>
      </c>
      <c r="R55" s="87">
        <f>Summary!R129</f>
        <v>4219.8271313958867</v>
      </c>
      <c r="S55" s="87">
        <f>Summary!S129</f>
        <v>4247.728675551979</v>
      </c>
      <c r="T55" s="87">
        <f>Summary!T129</f>
        <v>4275.6999359240808</v>
      </c>
      <c r="U55" s="87">
        <f>Summary!U129</f>
        <v>4303.7423796323583</v>
      </c>
      <c r="V55" s="87">
        <f>Summary!V129</f>
        <v>4331.8575606678751</v>
      </c>
      <c r="W55" s="87">
        <f>Summary!W129</f>
        <v>4360.0471174485028</v>
      </c>
      <c r="X55" s="87">
        <f>Summary!X129</f>
        <v>4388.3127702944366</v>
      </c>
      <c r="Y55" s="87">
        <f>Summary!Y129</f>
        <v>4416.6563188366699</v>
      </c>
      <c r="Z55" s="87">
        <f>Summary!Z129</f>
        <v>4445.0796393713526</v>
      </c>
      <c r="AA55" s="87">
        <f>Summary!AA129</f>
        <v>4470.1908599402877</v>
      </c>
      <c r="AB55" s="87">
        <f>Summary!AB129</f>
        <v>4485.2146989256389</v>
      </c>
      <c r="AC55" s="87">
        <f>Summary!AC129</f>
        <v>4500.1728879728271</v>
      </c>
      <c r="AD55" s="87">
        <f>Summary!AD129</f>
        <v>4515.0675005247122</v>
      </c>
      <c r="AE55" s="87">
        <f>Summary!AE129</f>
        <v>4529.9006245295532</v>
      </c>
      <c r="AF55" s="87">
        <f>Summary!AF129</f>
        <v>4544.6743595948237</v>
      </c>
      <c r="AG55" s="87">
        <f>Summary!AG129</f>
        <v>4559.3908142686041</v>
      </c>
      <c r="AH55" s="87">
        <f>Summary!AH129</f>
        <v>4574.0521034534559</v>
      </c>
      <c r="AI55" s="87">
        <f>Summary!AI129</f>
        <v>4588.6603459567195</v>
      </c>
      <c r="AJ55" s="87">
        <f>Summary!AJ129</f>
        <v>4603.2176621802164</v>
      </c>
      <c r="AK55" s="87">
        <f>Summary!AK129</f>
        <v>4619.5791914627152</v>
      </c>
      <c r="AL55" s="87">
        <f>Summary!AL129</f>
        <v>4628.7272768794373</v>
      </c>
      <c r="AM55" s="87">
        <f>Summary!AM129</f>
        <v>4639.4914606747079</v>
      </c>
    </row>
    <row r="56" spans="2:45" ht="14" customHeight="1">
      <c r="B56" s="32" t="s">
        <v>107</v>
      </c>
      <c r="I56" s="18">
        <f>Summary!I130</f>
        <v>2414.2999999999997</v>
      </c>
      <c r="J56" s="18">
        <f>Summary!J130</f>
        <v>2358.6</v>
      </c>
      <c r="K56" s="18">
        <f>Summary!K130</f>
        <v>2425.1999999999998</v>
      </c>
      <c r="L56" s="18">
        <f>Summary!L130</f>
        <v>2372.4</v>
      </c>
      <c r="M56" s="18">
        <f>Summary!M130</f>
        <v>2157.7999999999997</v>
      </c>
      <c r="N56" s="18">
        <f>Summary!N130</f>
        <v>2270.7999999999997</v>
      </c>
      <c r="O56" s="18">
        <f>Summary!O130</f>
        <v>2170</v>
      </c>
      <c r="P56" s="18">
        <f>Summary!P130</f>
        <v>2035.4943018923852</v>
      </c>
      <c r="Q56" s="18">
        <f>Summary!Q130</f>
        <v>1398.4064618529751</v>
      </c>
      <c r="R56" s="18">
        <f>Summary!R130</f>
        <v>1401.2882328415103</v>
      </c>
      <c r="S56" s="18">
        <f>Summary!S130</f>
        <v>1404.1553107574223</v>
      </c>
      <c r="T56" s="18">
        <f>Summary!T130</f>
        <v>1407.0077225942796</v>
      </c>
      <c r="U56" s="18">
        <f>Summary!U130</f>
        <v>1409.8454967499572</v>
      </c>
      <c r="V56" s="18">
        <f>Summary!V130</f>
        <v>1412.6686630014783</v>
      </c>
      <c r="W56" s="18">
        <f>Summary!W130</f>
        <v>1415.4772524798489</v>
      </c>
      <c r="X56" s="18">
        <f>Summary!X130</f>
        <v>1418.271297644905</v>
      </c>
      <c r="Y56" s="18">
        <f>Summary!Y130</f>
        <v>1421.050832260172</v>
      </c>
      <c r="Z56" s="18">
        <f>Summary!Z130</f>
        <v>1423.8158913677539</v>
      </c>
      <c r="AA56" s="18">
        <f>Summary!AA130</f>
        <v>1426.5665112632651</v>
      </c>
      <c r="AB56" s="18">
        <f>Summary!AB130</f>
        <v>1420.8481250298803</v>
      </c>
      <c r="AC56" s="18">
        <f>Summary!AC130</f>
        <v>1415.080007697265</v>
      </c>
      <c r="AD56" s="18">
        <f>Summary!AD130</f>
        <v>1409.2639980002955</v>
      </c>
      <c r="AE56" s="18">
        <f>Summary!AE130</f>
        <v>1403.4019164513813</v>
      </c>
      <c r="AF56" s="18">
        <f>Summary!AF130</f>
        <v>1397.4955645622967</v>
      </c>
      <c r="AG56" s="18">
        <f>Summary!AG130</f>
        <v>1391.5467241114807</v>
      </c>
      <c r="AH56" s="18">
        <f>Summary!AH130</f>
        <v>1385.5571564561815</v>
      </c>
      <c r="AI56" s="18">
        <f>Summary!AI130</f>
        <v>1379.5286018887625</v>
      </c>
      <c r="AJ56" s="18">
        <f>Summary!AJ130</f>
        <v>1373.4627790364061</v>
      </c>
      <c r="AK56" s="18">
        <f>Summary!AK130</f>
        <v>1367.3613843034295</v>
      </c>
      <c r="AL56" s="18">
        <f>Summary!AL130</f>
        <v>1355.9004885749307</v>
      </c>
      <c r="AM56" s="18">
        <f>Summary!AM130</f>
        <v>1344.4357770872357</v>
      </c>
    </row>
    <row r="57" spans="2:45" ht="14" customHeight="1">
      <c r="B57" s="32" t="s">
        <v>373</v>
      </c>
      <c r="I57" s="18">
        <f>Summary!I131</f>
        <v>1246.2197147552799</v>
      </c>
      <c r="J57" s="18">
        <f>Summary!J131</f>
        <v>1256.2061927521904</v>
      </c>
      <c r="K57" s="18">
        <f>Summary!K131</f>
        <v>1264.0552866209557</v>
      </c>
      <c r="L57" s="18">
        <f>Summary!L131</f>
        <v>1223.0844262191999</v>
      </c>
      <c r="M57" s="18">
        <f>Summary!M131</f>
        <v>1222.6603237093377</v>
      </c>
      <c r="N57" s="18">
        <f>Summary!N131</f>
        <v>1229.2205105919218</v>
      </c>
      <c r="O57" s="18">
        <f>Summary!O131</f>
        <v>1188.6555205099994</v>
      </c>
      <c r="P57" s="18">
        <f>Summary!P131</f>
        <v>1184.1450943945235</v>
      </c>
      <c r="Q57" s="18">
        <f>Summary!Q131</f>
        <v>1059.5683027892867</v>
      </c>
      <c r="R57" s="18">
        <f>Summary!R131</f>
        <v>1069.3039129618157</v>
      </c>
      <c r="S57" s="18">
        <f>Summary!S131</f>
        <v>1079.0858185231457</v>
      </c>
      <c r="T57" s="18">
        <f>Summary!T131</f>
        <v>1088.9143756399653</v>
      </c>
      <c r="U57" s="18">
        <f>Summary!U131</f>
        <v>1098.7899540522376</v>
      </c>
      <c r="V57" s="18">
        <f>Summary!V131</f>
        <v>1108.7129368329208</v>
      </c>
      <c r="W57" s="18">
        <f>Summary!W131</f>
        <v>1118.6837201439639</v>
      </c>
      <c r="X57" s="18">
        <f>Summary!X131</f>
        <v>1128.702712989256</v>
      </c>
      <c r="Y57" s="18">
        <f>Summary!Y131</f>
        <v>1138.7703369651977</v>
      </c>
      <c r="Z57" s="18">
        <f>Summary!Z131</f>
        <v>1148.8870260095298</v>
      </c>
      <c r="AA57" s="18">
        <f>Summary!AA131</f>
        <v>1157.6054736325348</v>
      </c>
      <c r="AB57" s="18">
        <f>Summary!AB131</f>
        <v>1166.3501928487813</v>
      </c>
      <c r="AC57" s="18">
        <f>Summary!AC131</f>
        <v>1175.1215098547145</v>
      </c>
      <c r="AD57" s="18">
        <f>Summary!AD131</f>
        <v>1183.9197601747119</v>
      </c>
      <c r="AE57" s="18">
        <f>Summary!AE131</f>
        <v>1192.7452883473327</v>
      </c>
      <c r="AF57" s="18">
        <f>Summary!AF131</f>
        <v>1201.5984476151543</v>
      </c>
      <c r="AG57" s="18">
        <f>Summary!AG131</f>
        <v>1210.4795996186072</v>
      </c>
      <c r="AH57" s="18">
        <f>Summary!AH131</f>
        <v>1219.3891140941921</v>
      </c>
      <c r="AI57" s="18">
        <f>Summary!AI131</f>
        <v>1228.3273685774295</v>
      </c>
      <c r="AJ57" s="18">
        <f>Summary!AJ131</f>
        <v>1237.2947481108608</v>
      </c>
      <c r="AK57" s="18">
        <f>Summary!AK131</f>
        <v>1247.0998242418784</v>
      </c>
      <c r="AL57" s="18">
        <f>Summary!AL131</f>
        <v>1256.9470519470829</v>
      </c>
      <c r="AM57" s="18">
        <f>Summary!AM131</f>
        <v>1267.5992734403981</v>
      </c>
    </row>
    <row r="58" spans="2:45" ht="14" customHeight="1">
      <c r="B58" s="32" t="s">
        <v>339</v>
      </c>
      <c r="I58" s="18">
        <f>Summary!I132</f>
        <v>514.33831318509306</v>
      </c>
      <c r="J58" s="18">
        <f>Summary!J132</f>
        <v>520.72193808811414</v>
      </c>
      <c r="K58" s="18">
        <f>Summary!K132</f>
        <v>524.06800169899134</v>
      </c>
      <c r="L58" s="18">
        <f>Summary!L132</f>
        <v>492.78062079101261</v>
      </c>
      <c r="M58" s="18">
        <f>Summary!M132</f>
        <v>453.52089048839792</v>
      </c>
      <c r="N58" s="18">
        <f>Summary!N132</f>
        <v>474.65767081197976</v>
      </c>
      <c r="O58" s="18">
        <f>Summary!O132</f>
        <v>486.96528963302654</v>
      </c>
      <c r="P58" s="18">
        <f>Summary!P132</f>
        <v>467.46444589680084</v>
      </c>
      <c r="Q58" s="18">
        <f>Summary!Q132</f>
        <v>401.0536107636147</v>
      </c>
      <c r="R58" s="18">
        <f>Summary!R132</f>
        <v>403.70469496126793</v>
      </c>
      <c r="S58" s="18">
        <f>Summary!S132</f>
        <v>406.33063686356758</v>
      </c>
      <c r="T58" s="18">
        <f>Summary!T132</f>
        <v>408.93126328152766</v>
      </c>
      <c r="U58" s="18">
        <f>Summary!U132</f>
        <v>411.50642875963104</v>
      </c>
      <c r="V58" s="18">
        <f>Summary!V132</f>
        <v>414.05601504705641</v>
      </c>
      <c r="W58" s="18">
        <f>Summary!W132</f>
        <v>416.57993052227124</v>
      </c>
      <c r="X58" s="18">
        <f>Summary!X132</f>
        <v>419.07810957460862</v>
      </c>
      <c r="Y58" s="18">
        <f>Summary!Y132</f>
        <v>421.55051194648479</v>
      </c>
      <c r="Z58" s="18">
        <f>Summary!Z132</f>
        <v>423.99712203993829</v>
      </c>
      <c r="AA58" s="18">
        <f>Summary!AA132</f>
        <v>425.88531720955672</v>
      </c>
      <c r="AB58" s="18">
        <f>Summary!AB132</f>
        <v>427.7424457030707</v>
      </c>
      <c r="AC58" s="18">
        <f>Summary!AC132</f>
        <v>429.568667987141</v>
      </c>
      <c r="AD58" s="18">
        <f>Summary!AD132</f>
        <v>431.36416549589069</v>
      </c>
      <c r="AE58" s="18">
        <f>Summary!AE132</f>
        <v>433.12913968551635</v>
      </c>
      <c r="AF58" s="18">
        <f>Summary!AF132</f>
        <v>434.86381108118604</v>
      </c>
      <c r="AG58" s="18">
        <f>Summary!AG132</f>
        <v>436.56841831954858</v>
      </c>
      <c r="AH58" s="18">
        <f>Summary!AH132</f>
        <v>438.24321719002489</v>
      </c>
      <c r="AI58" s="18">
        <f>Summary!AI132</f>
        <v>439.8884796778957</v>
      </c>
      <c r="AJ58" s="18">
        <f>Summary!AJ132</f>
        <v>441.50449301203042</v>
      </c>
      <c r="AK58" s="18">
        <f>Summary!AK132</f>
        <v>443.37888907341448</v>
      </c>
      <c r="AL58" s="18">
        <f>Summary!AL132</f>
        <v>445.22686056462311</v>
      </c>
      <c r="AM58" s="18">
        <f>Summary!AM132</f>
        <v>447.31770974958505</v>
      </c>
    </row>
    <row r="59" spans="2:45" ht="14" customHeight="1">
      <c r="B59" s="32" t="s">
        <v>11</v>
      </c>
      <c r="I59" s="18">
        <f>Summary!I133</f>
        <v>249.0948557748321</v>
      </c>
      <c r="J59" s="18">
        <f>Summary!J133</f>
        <v>242.18095297452081</v>
      </c>
      <c r="K59" s="18">
        <f>Summary!K133</f>
        <v>240.49131159641982</v>
      </c>
      <c r="L59" s="18">
        <f>Summary!L133</f>
        <v>227.92527308794266</v>
      </c>
      <c r="M59" s="18">
        <f>Summary!M133</f>
        <v>206.47097871471823</v>
      </c>
      <c r="N59" s="18">
        <f>Summary!N133</f>
        <v>212.0189694989798</v>
      </c>
      <c r="O59" s="18">
        <f>Summary!O133</f>
        <v>211.22644129636862</v>
      </c>
      <c r="P59" s="18">
        <f>Summary!P133</f>
        <v>207.27186784784001</v>
      </c>
      <c r="Q59" s="18">
        <f>Summary!Q133</f>
        <v>177.35541974053575</v>
      </c>
      <c r="R59" s="18">
        <f>Summary!R133</f>
        <v>178.94445581474366</v>
      </c>
      <c r="S59" s="18">
        <f>Summary!S133</f>
        <v>180.51609512685914</v>
      </c>
      <c r="T59" s="18">
        <f>Summary!T133</f>
        <v>182.07024201304864</v>
      </c>
      <c r="U59" s="18">
        <f>Summary!U133</f>
        <v>183.60683076210427</v>
      </c>
      <c r="V59" s="18">
        <f>Summary!V133</f>
        <v>185.12582459042105</v>
      </c>
      <c r="W59" s="18">
        <f>Summary!W133</f>
        <v>186.62721456236275</v>
      </c>
      <c r="X59" s="18">
        <f>Summary!X133</f>
        <v>188.11101846436873</v>
      </c>
      <c r="Y59" s="18">
        <f>Summary!Y133</f>
        <v>189.57727964094454</v>
      </c>
      <c r="Z59" s="18">
        <f>Summary!Z133</f>
        <v>191.02606580041132</v>
      </c>
      <c r="AA59" s="18">
        <f>Summary!AA133</f>
        <v>192.0969876870461</v>
      </c>
      <c r="AB59" s="18">
        <f>Summary!AB133</f>
        <v>193.14602089536191</v>
      </c>
      <c r="AC59" s="18">
        <f>Summary!AC133</f>
        <v>194.17340858852455</v>
      </c>
      <c r="AD59" s="18">
        <f>Summary!AD133</f>
        <v>195.17941182311407</v>
      </c>
      <c r="AE59" s="18">
        <f>Summary!AE133</f>
        <v>196.16430814638318</v>
      </c>
      <c r="AF59" s="18">
        <f>Summary!AF133</f>
        <v>197.12839021745313</v>
      </c>
      <c r="AG59" s="18">
        <f>Summary!AG133</f>
        <v>198.07196445722835</v>
      </c>
      <c r="AH59" s="18">
        <f>Summary!AH133</f>
        <v>198.99534973128783</v>
      </c>
      <c r="AI59" s="18">
        <f>Summary!AI133</f>
        <v>199.8988760694894</v>
      </c>
      <c r="AJ59" s="18">
        <f>Summary!AJ133</f>
        <v>200.78288342552599</v>
      </c>
      <c r="AK59" s="18">
        <f>Summary!AK133</f>
        <v>201.8438951803852</v>
      </c>
      <c r="AL59" s="18">
        <f>Summary!AL133</f>
        <v>202.88793065830436</v>
      </c>
      <c r="AM59" s="18">
        <f>Summary!AM133</f>
        <v>204.09939922606273</v>
      </c>
    </row>
    <row r="60" spans="2:45" ht="14" customHeight="1">
      <c r="B60" s="32" t="s">
        <v>751</v>
      </c>
      <c r="I60" s="18">
        <f>Summary!I134</f>
        <v>896.21332613010907</v>
      </c>
      <c r="J60" s="18">
        <f>Summary!J134</f>
        <v>970.97164090567469</v>
      </c>
      <c r="K60" s="18">
        <f>Summary!K134</f>
        <v>909.73046037842676</v>
      </c>
      <c r="L60" s="18">
        <f>Summary!L134</f>
        <v>887.79622490450151</v>
      </c>
      <c r="M60" s="18">
        <f>Summary!M134</f>
        <v>858.5227817617332</v>
      </c>
      <c r="N60" s="18">
        <f>Summary!N134</f>
        <v>874.34349600338328</v>
      </c>
      <c r="O60" s="18">
        <f>Summary!O134</f>
        <v>882.55835891667039</v>
      </c>
      <c r="P60" s="18">
        <f>Summary!P134</f>
        <v>799.99115607948818</v>
      </c>
      <c r="Q60" s="18">
        <f>Summary!Q134</f>
        <v>714.65888359722749</v>
      </c>
      <c r="R60" s="18">
        <f>Summary!R134</f>
        <v>718.25598287992693</v>
      </c>
      <c r="S60" s="18">
        <f>Summary!S134</f>
        <v>721.82500570152922</v>
      </c>
      <c r="T60" s="18">
        <f>Summary!T134</f>
        <v>725.36604207356174</v>
      </c>
      <c r="U60" s="18">
        <f>Summary!U134</f>
        <v>728.87919292973072</v>
      </c>
      <c r="V60" s="18">
        <f>Summary!V134</f>
        <v>732.3645696177083</v>
      </c>
      <c r="W60" s="18">
        <f>Summary!W134</f>
        <v>735.8222933978376</v>
      </c>
      <c r="X60" s="18">
        <f>Summary!X134</f>
        <v>739.25249494945513</v>
      </c>
      <c r="Y60" s="18">
        <f>Summary!Y134</f>
        <v>742.65531388545821</v>
      </c>
      <c r="Z60" s="18">
        <f>Summary!Z134</f>
        <v>746.03089827569147</v>
      </c>
      <c r="AA60" s="18">
        <f>Summary!AA134</f>
        <v>748.32644555637421</v>
      </c>
      <c r="AB60" s="18">
        <f>Summary!AB134</f>
        <v>750.58722963558148</v>
      </c>
      <c r="AC60" s="18">
        <f>Summary!AC134</f>
        <v>752.81355134352225</v>
      </c>
      <c r="AD60" s="18">
        <f>Summary!AD134</f>
        <v>755.00571681396173</v>
      </c>
      <c r="AE60" s="18">
        <f>Summary!AE134</f>
        <v>757.16403701909167</v>
      </c>
      <c r="AF60" s="18">
        <f>Summary!AF134</f>
        <v>759.28882731919236</v>
      </c>
      <c r="AG60" s="18">
        <f>Summary!AG134</f>
        <v>761.38040702717717</v>
      </c>
      <c r="AH60" s="18">
        <f>Summary!AH134</f>
        <v>763.43909898806726</v>
      </c>
      <c r="AI60" s="18">
        <f>Summary!AI134</f>
        <v>765.46522917339632</v>
      </c>
      <c r="AJ60" s="18">
        <f>Summary!AJ134</f>
        <v>767.459126290516</v>
      </c>
      <c r="AK60" s="18">
        <f>Summary!AK134</f>
        <v>769.98245657881773</v>
      </c>
      <c r="AL60" s="18">
        <f>Summary!AL134</f>
        <v>772.47744518966624</v>
      </c>
      <c r="AM60" s="18">
        <f>Summary!AM134</f>
        <v>775.46902664381048</v>
      </c>
    </row>
    <row r="61" spans="2:45" ht="14" customHeight="1">
      <c r="B61" s="32" t="s">
        <v>750</v>
      </c>
      <c r="I61" s="18">
        <f>Summary!I135</f>
        <v>585.94232361910008</v>
      </c>
      <c r="J61" s="18">
        <f>Summary!J135</f>
        <v>542.5909109157684</v>
      </c>
      <c r="K61" s="18">
        <f>Summary!K135</f>
        <v>575.20119129305317</v>
      </c>
      <c r="L61" s="18">
        <f>Summary!L135</f>
        <v>567.99940893351527</v>
      </c>
      <c r="M61" s="18">
        <f>Summary!M135</f>
        <v>507.45126774049845</v>
      </c>
      <c r="N61" s="18">
        <f>Summary!N135</f>
        <v>535.31747986489199</v>
      </c>
      <c r="O61" s="18">
        <f>Summary!O135</f>
        <v>519.20242147149497</v>
      </c>
      <c r="P61" s="18">
        <f>Summary!P135</f>
        <v>526.28713676369762</v>
      </c>
      <c r="Q61" s="18">
        <f>Summary!Q135</f>
        <v>440.95124681307936</v>
      </c>
      <c r="R61" s="18">
        <f>Summary!R135</f>
        <v>448.32985193662131</v>
      </c>
      <c r="S61" s="18">
        <f>Summary!S135</f>
        <v>455.81580857945448</v>
      </c>
      <c r="T61" s="18">
        <f>Summary!T135</f>
        <v>463.41029032169786</v>
      </c>
      <c r="U61" s="18">
        <f>Summary!U135</f>
        <v>471.11447637869668</v>
      </c>
      <c r="V61" s="18">
        <f>Summary!V135</f>
        <v>478.92955157829101</v>
      </c>
      <c r="W61" s="18">
        <f>Summary!W135</f>
        <v>486.85670634221793</v>
      </c>
      <c r="X61" s="18">
        <f>Summary!X135</f>
        <v>494.89713667184253</v>
      </c>
      <c r="Y61" s="18">
        <f>Summary!Y135</f>
        <v>503.05204413841261</v>
      </c>
      <c r="Z61" s="18">
        <f>Summary!Z135</f>
        <v>511.32263587802765</v>
      </c>
      <c r="AA61" s="18">
        <f>Summary!AA135</f>
        <v>519.71012459151041</v>
      </c>
      <c r="AB61" s="18">
        <f>Summary!AB135</f>
        <v>526.54068481296349</v>
      </c>
      <c r="AC61" s="18">
        <f>Summary!AC135</f>
        <v>533.41574250165979</v>
      </c>
      <c r="AD61" s="18">
        <f>Summary!AD135</f>
        <v>540.33444821673845</v>
      </c>
      <c r="AE61" s="18">
        <f>Summary!AE135</f>
        <v>547.29593487984778</v>
      </c>
      <c r="AF61" s="18">
        <f>Summary!AF135</f>
        <v>554.29931879954097</v>
      </c>
      <c r="AG61" s="18">
        <f>Summary!AG135</f>
        <v>561.34370073456228</v>
      </c>
      <c r="AH61" s="18">
        <f>Summary!AH135</f>
        <v>568.42816699370235</v>
      </c>
      <c r="AI61" s="18">
        <f>Summary!AI135</f>
        <v>575.55179056974578</v>
      </c>
      <c r="AJ61" s="18">
        <f>Summary!AJ135</f>
        <v>582.7136323048768</v>
      </c>
      <c r="AK61" s="18">
        <f>Summary!AK135</f>
        <v>589.91274208478978</v>
      </c>
      <c r="AL61" s="18">
        <f>Summary!AL135</f>
        <v>595.28749994483064</v>
      </c>
      <c r="AM61" s="18">
        <f>Summary!AM135</f>
        <v>600.57027452761622</v>
      </c>
    </row>
    <row r="62" spans="2:45" ht="14" customHeight="1">
      <c r="B62" s="90" t="str">
        <f>CONCATENATE("This array is copied from 'Summary' tab, Rows ",Summary!AO129, "-",Summary!AO135, ".")</f>
        <v>This array is copied from 'Summary' tab, Rows 129-135.</v>
      </c>
    </row>
    <row r="64" spans="2:45" ht="14" customHeight="1">
      <c r="B64" s="8" t="s">
        <v>762</v>
      </c>
      <c r="Q64" s="25">
        <f t="shared" ref="Q64:T70" si="1">Q44-Q55</f>
        <v>1028.6600773180153</v>
      </c>
      <c r="R64" s="25">
        <f t="shared" si="1"/>
        <v>1098.5592227727784</v>
      </c>
      <c r="S64" s="25">
        <f t="shared" si="1"/>
        <v>1094.0796541663267</v>
      </c>
      <c r="T64" s="25">
        <f t="shared" si="1"/>
        <v>1089.637559863907</v>
      </c>
      <c r="U64" s="25">
        <f t="shared" ref="U64:AM64" si="2">U44-U55</f>
        <v>1085.2341048389935</v>
      </c>
      <c r="V64" s="25">
        <f t="shared" si="2"/>
        <v>1080.8703753173832</v>
      </c>
      <c r="W64" s="25">
        <f t="shared" si="2"/>
        <v>1076.5473799632027</v>
      </c>
      <c r="X64" s="25">
        <f t="shared" si="2"/>
        <v>1072.2660512385191</v>
      </c>
      <c r="Y64" s="25">
        <f t="shared" si="2"/>
        <v>1068.0272469208512</v>
      </c>
      <c r="Z64" s="25">
        <f t="shared" si="2"/>
        <v>1063.8317517631622</v>
      </c>
      <c r="AA64" s="25">
        <f t="shared" si="2"/>
        <v>1063.0741015135027</v>
      </c>
      <c r="AB64" s="25">
        <f t="shared" si="2"/>
        <v>1068.7157429037316</v>
      </c>
      <c r="AC64" s="25">
        <f t="shared" si="2"/>
        <v>1056.9342747185692</v>
      </c>
      <c r="AD64" s="25">
        <f t="shared" si="2"/>
        <v>1045.3188536456482</v>
      </c>
      <c r="AE64" s="25">
        <f t="shared" si="2"/>
        <v>1033.8675593463213</v>
      </c>
      <c r="AF64" s="25">
        <f t="shared" si="2"/>
        <v>1022.578459967669</v>
      </c>
      <c r="AG64" s="25">
        <f t="shared" si="2"/>
        <v>1011.4496151026469</v>
      </c>
      <c r="AH64" s="25">
        <f t="shared" si="2"/>
        <v>1000.4790786504809</v>
      </c>
      <c r="AI64" s="25">
        <f t="shared" si="2"/>
        <v>989.66490156859982</v>
      </c>
      <c r="AJ64" s="25">
        <f t="shared" si="2"/>
        <v>979.0051345085858</v>
      </c>
      <c r="AK64" s="25">
        <f t="shared" si="2"/>
        <v>966.6448108184286</v>
      </c>
      <c r="AL64" s="25">
        <f t="shared" si="2"/>
        <v>963.6515619474203</v>
      </c>
      <c r="AM64" s="25">
        <f t="shared" si="2"/>
        <v>946.99848057620329</v>
      </c>
      <c r="AS64" s="6">
        <f>ROW()</f>
        <v>64</v>
      </c>
    </row>
    <row r="65" spans="2:256" ht="14" customHeight="1">
      <c r="B65" s="32" t="s">
        <v>107</v>
      </c>
      <c r="Q65" s="34">
        <f t="shared" si="1"/>
        <v>637.08784003941014</v>
      </c>
      <c r="R65" s="34">
        <f t="shared" si="1"/>
        <v>643.33050656271894</v>
      </c>
      <c r="S65" s="34">
        <f t="shared" si="1"/>
        <v>640.93591785221406</v>
      </c>
      <c r="T65" s="34">
        <f t="shared" si="1"/>
        <v>638.55610440789155</v>
      </c>
      <c r="U65" s="34">
        <f t="shared" ref="U65:AM65" si="3">U45-U56</f>
        <v>636.19103785711036</v>
      </c>
      <c r="V65" s="34">
        <f t="shared" si="3"/>
        <v>633.84068844808348</v>
      </c>
      <c r="W65" s="34">
        <f t="shared" si="3"/>
        <v>631.50502507504916</v>
      </c>
      <c r="X65" s="34">
        <f t="shared" si="3"/>
        <v>629.18401530342067</v>
      </c>
      <c r="Y65" s="34">
        <f t="shared" si="3"/>
        <v>626.87762539492815</v>
      </c>
      <c r="Z65" s="34">
        <f t="shared" si="3"/>
        <v>624.58582033272933</v>
      </c>
      <c r="AA65" s="34">
        <f t="shared" si="3"/>
        <v>622.30856384647495</v>
      </c>
      <c r="AB65" s="34">
        <f t="shared" si="3"/>
        <v>628.50042287826432</v>
      </c>
      <c r="AC65" s="34">
        <f t="shared" si="3"/>
        <v>619.86017627341471</v>
      </c>
      <c r="AD65" s="34">
        <f t="shared" si="3"/>
        <v>611.36912298124594</v>
      </c>
      <c r="AE65" s="34">
        <f t="shared" si="3"/>
        <v>603.02473027232054</v>
      </c>
      <c r="AF65" s="34">
        <f t="shared" si="3"/>
        <v>594.82448942522501</v>
      </c>
      <c r="AG65" s="34">
        <f t="shared" si="3"/>
        <v>586.76591642406197</v>
      </c>
      <c r="AH65" s="34">
        <f t="shared" si="3"/>
        <v>578.84655261135003</v>
      </c>
      <c r="AI65" s="34">
        <f t="shared" si="3"/>
        <v>571.06396529700214</v>
      </c>
      <c r="AJ65" s="34">
        <f t="shared" si="3"/>
        <v>563.41574832415927</v>
      </c>
      <c r="AK65" s="34">
        <f t="shared" si="3"/>
        <v>555.89952259264305</v>
      </c>
      <c r="AL65" s="34">
        <f t="shared" si="3"/>
        <v>553.83853932132843</v>
      </c>
      <c r="AM65" s="34">
        <f t="shared" si="3"/>
        <v>543.15785805754581</v>
      </c>
      <c r="AS65" s="6">
        <f>ROW()</f>
        <v>65</v>
      </c>
    </row>
    <row r="66" spans="2:256" ht="14" customHeight="1">
      <c r="B66" s="32" t="s">
        <v>373</v>
      </c>
      <c r="Q66" s="34">
        <f t="shared" si="1"/>
        <v>124.57679160523685</v>
      </c>
      <c r="R66" s="34">
        <f t="shared" si="1"/>
        <v>140.66140036189449</v>
      </c>
      <c r="S66" s="34">
        <f t="shared" si="1"/>
        <v>139.61074663894647</v>
      </c>
      <c r="T66" s="34">
        <f t="shared" si="1"/>
        <v>138.57644709945498</v>
      </c>
      <c r="U66" s="34">
        <f t="shared" ref="U66:AM66" si="4">U46-U57</f>
        <v>137.55858666027075</v>
      </c>
      <c r="V66" s="34">
        <f t="shared" si="4"/>
        <v>136.5572401861059</v>
      </c>
      <c r="W66" s="34">
        <f t="shared" si="4"/>
        <v>135.57247275721465</v>
      </c>
      <c r="X66" s="34">
        <f t="shared" si="4"/>
        <v>134.60433994028813</v>
      </c>
      <c r="Y66" s="34">
        <f t="shared" si="4"/>
        <v>133.6528880619021</v>
      </c>
      <c r="Z66" s="34">
        <f t="shared" si="4"/>
        <v>132.71815448387952</v>
      </c>
      <c r="AA66" s="34">
        <f t="shared" si="4"/>
        <v>133.2479203964549</v>
      </c>
      <c r="AB66" s="34">
        <f t="shared" si="4"/>
        <v>132.19413404190277</v>
      </c>
      <c r="AC66" s="34">
        <f t="shared" si="4"/>
        <v>131.15957264450458</v>
      </c>
      <c r="AD66" s="34">
        <f t="shared" si="4"/>
        <v>130.144173692815</v>
      </c>
      <c r="AE66" s="34">
        <f t="shared" si="4"/>
        <v>129.14786728782292</v>
      </c>
      <c r="AF66" s="34">
        <f t="shared" si="4"/>
        <v>128.17057646280864</v>
      </c>
      <c r="AG66" s="34">
        <f t="shared" si="4"/>
        <v>127.21221749925598</v>
      </c>
      <c r="AH66" s="34">
        <f t="shared" si="4"/>
        <v>126.27270023844449</v>
      </c>
      <c r="AI66" s="34">
        <f t="shared" si="4"/>
        <v>125.35192838836338</v>
      </c>
      <c r="AJ66" s="34">
        <f t="shared" si="4"/>
        <v>124.44979982563677</v>
      </c>
      <c r="AK66" s="34">
        <f t="shared" si="4"/>
        <v>122.75802760767601</v>
      </c>
      <c r="AL66" s="34">
        <f t="shared" si="4"/>
        <v>121.96604353622251</v>
      </c>
      <c r="AM66" s="34">
        <f t="shared" si="4"/>
        <v>120.42892403141741</v>
      </c>
      <c r="AS66" s="6">
        <f>ROW()</f>
        <v>66</v>
      </c>
    </row>
    <row r="67" spans="2:256" ht="14" customHeight="1">
      <c r="B67" s="32" t="s">
        <v>339</v>
      </c>
      <c r="Q67" s="34">
        <f t="shared" si="1"/>
        <v>66.41083513318614</v>
      </c>
      <c r="R67" s="34">
        <f t="shared" si="1"/>
        <v>69.166240064837382</v>
      </c>
      <c r="S67" s="34">
        <f t="shared" si="1"/>
        <v>68.303884763535507</v>
      </c>
      <c r="T67" s="34">
        <f t="shared" si="1"/>
        <v>67.448089737224109</v>
      </c>
      <c r="U67" s="34">
        <f t="shared" ref="U67:AM67" si="5">U47-U58</f>
        <v>66.599324607582162</v>
      </c>
      <c r="V67" s="34">
        <f t="shared" si="5"/>
        <v>65.758034001331168</v>
      </c>
      <c r="W67" s="34">
        <f t="shared" si="5"/>
        <v>64.924637655636388</v>
      </c>
      <c r="X67" s="34">
        <f t="shared" si="5"/>
        <v>64.099530587064805</v>
      </c>
      <c r="Y67" s="34">
        <f t="shared" si="5"/>
        <v>63.283083320356809</v>
      </c>
      <c r="Z67" s="34">
        <f t="shared" si="5"/>
        <v>62.475642173178471</v>
      </c>
      <c r="AA67" s="34">
        <f t="shared" si="5"/>
        <v>62.210160574589338</v>
      </c>
      <c r="AB67" s="34">
        <f t="shared" si="5"/>
        <v>61.347942721364177</v>
      </c>
      <c r="AC67" s="34">
        <f t="shared" si="5"/>
        <v>60.497628460631745</v>
      </c>
      <c r="AD67" s="34">
        <f t="shared" si="5"/>
        <v>59.65942956774245</v>
      </c>
      <c r="AE67" s="34">
        <f t="shared" si="5"/>
        <v>58.833534711495304</v>
      </c>
      <c r="AF67" s="34">
        <f t="shared" si="5"/>
        <v>58.02011012974333</v>
      </c>
      <c r="AG67" s="34">
        <f t="shared" si="5"/>
        <v>57.219300329351427</v>
      </c>
      <c r="AH67" s="34">
        <f t="shared" si="5"/>
        <v>56.431228806708702</v>
      </c>
      <c r="AI67" s="34">
        <f t="shared" si="5"/>
        <v>55.655998785137683</v>
      </c>
      <c r="AJ67" s="34">
        <f t="shared" si="5"/>
        <v>54.893693965700891</v>
      </c>
      <c r="AK67" s="34">
        <f t="shared" si="5"/>
        <v>53.85704893458535</v>
      </c>
      <c r="AL67" s="34">
        <f t="shared" si="5"/>
        <v>53.154207175936335</v>
      </c>
      <c r="AM67" s="34">
        <f t="shared" si="5"/>
        <v>52.19450542747893</v>
      </c>
      <c r="AS67" s="6">
        <f>ROW()</f>
        <v>67</v>
      </c>
    </row>
    <row r="68" spans="2:256" ht="14" customHeight="1">
      <c r="B68" s="32" t="s">
        <v>11</v>
      </c>
      <c r="Q68" s="34">
        <f t="shared" si="1"/>
        <v>29.916448107304262</v>
      </c>
      <c r="R68" s="34">
        <f t="shared" si="1"/>
        <v>27.927701765074573</v>
      </c>
      <c r="S68" s="34">
        <f t="shared" si="1"/>
        <v>27.239376613429869</v>
      </c>
      <c r="T68" s="34">
        <f t="shared" si="1"/>
        <v>26.561542772859354</v>
      </c>
      <c r="U68" s="34">
        <f t="shared" ref="U68:AM68" si="6">U48-U59</f>
        <v>25.89450182951029</v>
      </c>
      <c r="V68" s="34">
        <f t="shared" si="6"/>
        <v>25.238522828231055</v>
      </c>
      <c r="W68" s="34">
        <f t="shared" si="6"/>
        <v>24.593843224589676</v>
      </c>
      <c r="X68" s="34">
        <f t="shared" si="6"/>
        <v>23.960669900111782</v>
      </c>
      <c r="Y68" s="34">
        <f t="shared" si="6"/>
        <v>23.339180231598817</v>
      </c>
      <c r="Z68" s="34">
        <f t="shared" si="6"/>
        <v>22.729523205678987</v>
      </c>
      <c r="AA68" s="34">
        <f t="shared" si="6"/>
        <v>22.49230068101258</v>
      </c>
      <c r="AB68" s="34">
        <f t="shared" si="6"/>
        <v>21.868259903481231</v>
      </c>
      <c r="AC68" s="34">
        <f t="shared" si="6"/>
        <v>21.258521487065195</v>
      </c>
      <c r="AD68" s="34">
        <f t="shared" si="6"/>
        <v>20.663058691975408</v>
      </c>
      <c r="AE68" s="34">
        <f t="shared" si="6"/>
        <v>20.081822472580285</v>
      </c>
      <c r="AF68" s="34">
        <f t="shared" si="6"/>
        <v>19.514742894458777</v>
      </c>
      <c r="AG68" s="34">
        <f t="shared" si="6"/>
        <v>18.961730531518299</v>
      </c>
      <c r="AH68" s="34">
        <f t="shared" si="6"/>
        <v>18.42267783809487</v>
      </c>
      <c r="AI68" s="34">
        <f t="shared" si="6"/>
        <v>17.897460491522139</v>
      </c>
      <c r="AJ68" s="34">
        <f t="shared" si="6"/>
        <v>17.385938701193822</v>
      </c>
      <c r="AK68" s="34">
        <f t="shared" si="6"/>
        <v>16.6917837794783</v>
      </c>
      <c r="AL68" s="34">
        <f t="shared" si="6"/>
        <v>16.222121608591976</v>
      </c>
      <c r="AM68" s="34">
        <f t="shared" si="6"/>
        <v>15.58067141869941</v>
      </c>
      <c r="AS68" s="6">
        <f>ROW()</f>
        <v>68</v>
      </c>
    </row>
    <row r="69" spans="2:256" ht="14" customHeight="1">
      <c r="B69" s="32" t="s">
        <v>751</v>
      </c>
      <c r="Q69" s="34">
        <f t="shared" si="1"/>
        <v>85.332272482260692</v>
      </c>
      <c r="R69" s="34">
        <f t="shared" si="1"/>
        <v>91.010121117591893</v>
      </c>
      <c r="S69" s="34">
        <f t="shared" si="1"/>
        <v>90.458228203623662</v>
      </c>
      <c r="T69" s="34">
        <f t="shared" si="1"/>
        <v>89.898136276594073</v>
      </c>
      <c r="U69" s="34">
        <f t="shared" ref="U69:AM69" si="7">U49-U60</f>
        <v>89.330389676503501</v>
      </c>
      <c r="V69" s="34">
        <f t="shared" si="7"/>
        <v>88.755521540988411</v>
      </c>
      <c r="W69" s="34">
        <f t="shared" si="7"/>
        <v>88.174053465531188</v>
      </c>
      <c r="X69" s="34">
        <f t="shared" si="7"/>
        <v>87.586495207545113</v>
      </c>
      <c r="Y69" s="34">
        <f t="shared" si="7"/>
        <v>86.993344432488357</v>
      </c>
      <c r="Z69" s="34">
        <f t="shared" si="7"/>
        <v>86.395086500118964</v>
      </c>
      <c r="AA69" s="34">
        <f t="shared" si="7"/>
        <v>86.845152912277626</v>
      </c>
      <c r="AB69" s="34">
        <f t="shared" si="7"/>
        <v>86.121573532421166</v>
      </c>
      <c r="AC69" s="34">
        <f t="shared" si="7"/>
        <v>85.396102609648324</v>
      </c>
      <c r="AD69" s="34">
        <f t="shared" si="7"/>
        <v>84.669185315784148</v>
      </c>
      <c r="AE69" s="34">
        <f t="shared" si="7"/>
        <v>83.941251592163098</v>
      </c>
      <c r="AF69" s="34">
        <f t="shared" si="7"/>
        <v>83.212716234445566</v>
      </c>
      <c r="AG69" s="34">
        <f t="shared" si="7"/>
        <v>82.483979003834861</v>
      </c>
      <c r="AH69" s="34">
        <f t="shared" si="7"/>
        <v>81.755424762662301</v>
      </c>
      <c r="AI69" s="34">
        <f t="shared" si="7"/>
        <v>81.027423632364162</v>
      </c>
      <c r="AJ69" s="34">
        <f t="shared" si="7"/>
        <v>80.300331171943185</v>
      </c>
      <c r="AK69" s="34">
        <f t="shared" si="7"/>
        <v>79.013153402993112</v>
      </c>
      <c r="AL69" s="34">
        <f t="shared" si="7"/>
        <v>78.344594396460252</v>
      </c>
      <c r="AM69" s="34">
        <f t="shared" si="7"/>
        <v>77.152268608185182</v>
      </c>
      <c r="AS69" s="6">
        <f>ROW()</f>
        <v>69</v>
      </c>
    </row>
    <row r="70" spans="2:256" ht="14" customHeight="1">
      <c r="B70" s="32" t="s">
        <v>750</v>
      </c>
      <c r="Q70" s="34">
        <f t="shared" si="1"/>
        <v>85.335889950618252</v>
      </c>
      <c r="R70" s="34">
        <f t="shared" si="1"/>
        <v>126.46325290066164</v>
      </c>
      <c r="S70" s="34">
        <f t="shared" si="1"/>
        <v>127.53150009457806</v>
      </c>
      <c r="T70" s="34">
        <f t="shared" si="1"/>
        <v>128.5972395698825</v>
      </c>
      <c r="U70" s="34">
        <f t="shared" ref="U70:AM70" si="8">U50-U61</f>
        <v>129.66026420801717</v>
      </c>
      <c r="V70" s="34">
        <f t="shared" si="8"/>
        <v>130.72036831264222</v>
      </c>
      <c r="W70" s="34">
        <f t="shared" si="8"/>
        <v>131.77734778518249</v>
      </c>
      <c r="X70" s="34">
        <f t="shared" si="8"/>
        <v>132.83100030009007</v>
      </c>
      <c r="Y70" s="34">
        <f t="shared" si="8"/>
        <v>133.88112547957724</v>
      </c>
      <c r="Z70" s="34">
        <f t="shared" si="8"/>
        <v>134.92752506757722</v>
      </c>
      <c r="AA70" s="34">
        <f t="shared" si="8"/>
        <v>135.97000310269414</v>
      </c>
      <c r="AB70" s="34">
        <f t="shared" si="8"/>
        <v>138.68340982629786</v>
      </c>
      <c r="AC70" s="34">
        <f t="shared" si="8"/>
        <v>138.76227324330375</v>
      </c>
      <c r="AD70" s="34">
        <f t="shared" si="8"/>
        <v>138.81388339608486</v>
      </c>
      <c r="AE70" s="34">
        <f t="shared" si="8"/>
        <v>138.83835300993906</v>
      </c>
      <c r="AF70" s="34">
        <f t="shared" si="8"/>
        <v>138.83582482098814</v>
      </c>
      <c r="AG70" s="34">
        <f t="shared" si="8"/>
        <v>138.80647131462479</v>
      </c>
      <c r="AH70" s="34">
        <f t="shared" si="8"/>
        <v>138.75049439322106</v>
      </c>
      <c r="AI70" s="34">
        <f t="shared" si="8"/>
        <v>138.66812497421006</v>
      </c>
      <c r="AJ70" s="34">
        <f t="shared" si="8"/>
        <v>138.55962251995163</v>
      </c>
      <c r="AK70" s="34">
        <f t="shared" si="8"/>
        <v>138.42527450105229</v>
      </c>
      <c r="AL70" s="34">
        <f t="shared" si="8"/>
        <v>140.12605590888052</v>
      </c>
      <c r="AM70" s="34">
        <f t="shared" si="8"/>
        <v>138.48425303287638</v>
      </c>
      <c r="AS70" s="6">
        <f>ROW()</f>
        <v>70</v>
      </c>
    </row>
    <row r="72" spans="2:256" ht="14" customHeight="1">
      <c r="B72" s="8" t="str">
        <f>B55</f>
        <v>CO2 emissions, million metric tons, with carbon tax incremented at levels inputted above</v>
      </c>
    </row>
    <row r="73" spans="2:256" ht="14" customHeight="1">
      <c r="B73" s="32" t="s">
        <v>107</v>
      </c>
      <c r="I73" s="38">
        <f t="shared" ref="I73:AM73" si="9">I56</f>
        <v>2414.2999999999997</v>
      </c>
      <c r="J73" s="38">
        <f t="shared" si="9"/>
        <v>2358.6</v>
      </c>
      <c r="K73" s="38">
        <f t="shared" si="9"/>
        <v>2425.1999999999998</v>
      </c>
      <c r="L73" s="38">
        <f t="shared" si="9"/>
        <v>2372.4</v>
      </c>
      <c r="M73" s="38">
        <f t="shared" si="9"/>
        <v>2157.7999999999997</v>
      </c>
      <c r="N73" s="38">
        <f t="shared" si="9"/>
        <v>2270.7999999999997</v>
      </c>
      <c r="O73" s="38">
        <f t="shared" si="9"/>
        <v>2170</v>
      </c>
      <c r="P73" s="38">
        <f t="shared" si="9"/>
        <v>2035.4943018923852</v>
      </c>
      <c r="Q73" s="38">
        <f t="shared" si="9"/>
        <v>1398.4064618529751</v>
      </c>
      <c r="R73" s="38">
        <f t="shared" si="9"/>
        <v>1401.2882328415103</v>
      </c>
      <c r="S73" s="38">
        <f t="shared" si="9"/>
        <v>1404.1553107574223</v>
      </c>
      <c r="T73" s="38">
        <f t="shared" si="9"/>
        <v>1407.0077225942796</v>
      </c>
      <c r="U73" s="38">
        <f t="shared" si="9"/>
        <v>1409.8454967499572</v>
      </c>
      <c r="V73" s="38">
        <f t="shared" si="9"/>
        <v>1412.6686630014783</v>
      </c>
      <c r="W73" s="38">
        <f t="shared" si="9"/>
        <v>1415.4772524798489</v>
      </c>
      <c r="X73" s="38">
        <f t="shared" si="9"/>
        <v>1418.271297644905</v>
      </c>
      <c r="Y73" s="38">
        <f t="shared" si="9"/>
        <v>1421.050832260172</v>
      </c>
      <c r="Z73" s="38">
        <f t="shared" si="9"/>
        <v>1423.8158913677539</v>
      </c>
      <c r="AA73" s="38">
        <f t="shared" si="9"/>
        <v>1426.5665112632651</v>
      </c>
      <c r="AB73" s="38">
        <f t="shared" si="9"/>
        <v>1420.8481250298803</v>
      </c>
      <c r="AC73" s="38">
        <f t="shared" si="9"/>
        <v>1415.080007697265</v>
      </c>
      <c r="AD73" s="38">
        <f t="shared" si="9"/>
        <v>1409.2639980002955</v>
      </c>
      <c r="AE73" s="38">
        <f t="shared" si="9"/>
        <v>1403.4019164513813</v>
      </c>
      <c r="AF73" s="38">
        <f t="shared" si="9"/>
        <v>1397.4955645622967</v>
      </c>
      <c r="AG73" s="38">
        <f t="shared" si="9"/>
        <v>1391.5467241114807</v>
      </c>
      <c r="AH73" s="38">
        <f t="shared" si="9"/>
        <v>1385.5571564561815</v>
      </c>
      <c r="AI73" s="38">
        <f t="shared" si="9"/>
        <v>1379.5286018887625</v>
      </c>
      <c r="AJ73" s="38">
        <f t="shared" si="9"/>
        <v>1373.4627790364061</v>
      </c>
      <c r="AK73" s="38">
        <f t="shared" si="9"/>
        <v>1367.3613843034295</v>
      </c>
      <c r="AL73" s="38">
        <f t="shared" si="9"/>
        <v>1355.9004885749307</v>
      </c>
      <c r="AM73" s="38">
        <f t="shared" si="9"/>
        <v>1344.4357770872357</v>
      </c>
    </row>
    <row r="74" spans="2:256" ht="14" customHeight="1">
      <c r="B74" s="32" t="s">
        <v>935</v>
      </c>
      <c r="I74" s="38">
        <f t="shared" ref="I74:AM74" si="10">SUM(I57:I61)</f>
        <v>3491.8085334644143</v>
      </c>
      <c r="J74" s="38">
        <f t="shared" si="10"/>
        <v>3532.6716356362685</v>
      </c>
      <c r="K74" s="38">
        <f t="shared" si="10"/>
        <v>3513.5462515878471</v>
      </c>
      <c r="L74" s="38">
        <f t="shared" si="10"/>
        <v>3399.5859539361718</v>
      </c>
      <c r="M74" s="38">
        <f t="shared" si="10"/>
        <v>3248.6262424146853</v>
      </c>
      <c r="N74" s="38">
        <f t="shared" si="10"/>
        <v>3325.5581267711568</v>
      </c>
      <c r="O74" s="38">
        <f t="shared" si="10"/>
        <v>3288.6080318275599</v>
      </c>
      <c r="P74" s="38">
        <f t="shared" si="10"/>
        <v>3185.1597009823499</v>
      </c>
      <c r="Q74" s="38">
        <f t="shared" si="10"/>
        <v>2793.5874637037437</v>
      </c>
      <c r="R74" s="38">
        <f t="shared" si="10"/>
        <v>2818.5388985543755</v>
      </c>
      <c r="S74" s="38">
        <f t="shared" si="10"/>
        <v>2843.5733647945563</v>
      </c>
      <c r="T74" s="38">
        <f t="shared" si="10"/>
        <v>2868.6922133298012</v>
      </c>
      <c r="U74" s="38">
        <f t="shared" si="10"/>
        <v>2893.8968828824</v>
      </c>
      <c r="V74" s="38">
        <f t="shared" si="10"/>
        <v>2919.1888976663977</v>
      </c>
      <c r="W74" s="38">
        <f t="shared" si="10"/>
        <v>2944.5698649686533</v>
      </c>
      <c r="X74" s="38">
        <f t="shared" si="10"/>
        <v>2970.041472649531</v>
      </c>
      <c r="Y74" s="38">
        <f t="shared" si="10"/>
        <v>2995.6054865764982</v>
      </c>
      <c r="Z74" s="38">
        <f t="shared" si="10"/>
        <v>3021.2637480035983</v>
      </c>
      <c r="AA74" s="38">
        <f t="shared" si="10"/>
        <v>3043.6243486770222</v>
      </c>
      <c r="AB74" s="38">
        <f t="shared" si="10"/>
        <v>3064.3665738957588</v>
      </c>
      <c r="AC74" s="38">
        <f t="shared" si="10"/>
        <v>3085.092880275562</v>
      </c>
      <c r="AD74" s="38">
        <f t="shared" si="10"/>
        <v>3105.8035025244171</v>
      </c>
      <c r="AE74" s="38">
        <f t="shared" si="10"/>
        <v>3126.4987080781716</v>
      </c>
      <c r="AF74" s="38">
        <f t="shared" si="10"/>
        <v>3147.178795032527</v>
      </c>
      <c r="AG74" s="38">
        <f t="shared" si="10"/>
        <v>3167.8440901571234</v>
      </c>
      <c r="AH74" s="38">
        <f t="shared" si="10"/>
        <v>3188.4949469972744</v>
      </c>
      <c r="AI74" s="38">
        <f t="shared" si="10"/>
        <v>3209.1317440679568</v>
      </c>
      <c r="AJ74" s="38">
        <f t="shared" si="10"/>
        <v>3229.7548831438103</v>
      </c>
      <c r="AK74" s="38">
        <f t="shared" si="10"/>
        <v>3252.2178071592857</v>
      </c>
      <c r="AL74" s="38">
        <f t="shared" si="10"/>
        <v>3272.8267883045073</v>
      </c>
      <c r="AM74" s="38">
        <f t="shared" si="10"/>
        <v>3295.0556835874727</v>
      </c>
    </row>
    <row r="76" spans="2:256" ht="14" customHeight="1">
      <c r="B76" s="8" t="s">
        <v>762</v>
      </c>
    </row>
    <row r="77" spans="2:256" ht="14" customHeight="1">
      <c r="B77" s="32" t="s">
        <v>107</v>
      </c>
      <c r="Q77" s="38">
        <f t="shared" ref="Q77:AM77" si="11">Q65</f>
        <v>637.08784003941014</v>
      </c>
      <c r="R77" s="38">
        <f t="shared" si="11"/>
        <v>643.33050656271894</v>
      </c>
      <c r="S77" s="38">
        <f t="shared" si="11"/>
        <v>640.93591785221406</v>
      </c>
      <c r="T77" s="38">
        <f t="shared" si="11"/>
        <v>638.55610440789155</v>
      </c>
      <c r="U77" s="38">
        <f t="shared" si="11"/>
        <v>636.19103785711036</v>
      </c>
      <c r="V77" s="38">
        <f t="shared" si="11"/>
        <v>633.84068844808348</v>
      </c>
      <c r="W77" s="38">
        <f t="shared" si="11"/>
        <v>631.50502507504916</v>
      </c>
      <c r="X77" s="38">
        <f t="shared" si="11"/>
        <v>629.18401530342067</v>
      </c>
      <c r="Y77" s="38">
        <f t="shared" si="11"/>
        <v>626.87762539492815</v>
      </c>
      <c r="Z77" s="38">
        <f t="shared" si="11"/>
        <v>624.58582033272933</v>
      </c>
      <c r="AA77" s="38">
        <f t="shared" si="11"/>
        <v>622.30856384647495</v>
      </c>
      <c r="AB77" s="38">
        <f t="shared" si="11"/>
        <v>628.50042287826432</v>
      </c>
      <c r="AC77" s="38">
        <f t="shared" si="11"/>
        <v>619.86017627341471</v>
      </c>
      <c r="AD77" s="38">
        <f t="shared" si="11"/>
        <v>611.36912298124594</v>
      </c>
      <c r="AE77" s="38">
        <f t="shared" si="11"/>
        <v>603.02473027232054</v>
      </c>
      <c r="AF77" s="38">
        <f t="shared" si="11"/>
        <v>594.82448942522501</v>
      </c>
      <c r="AG77" s="38">
        <f t="shared" si="11"/>
        <v>586.76591642406197</v>
      </c>
      <c r="AH77" s="38">
        <f t="shared" si="11"/>
        <v>578.84655261135003</v>
      </c>
      <c r="AI77" s="38">
        <f t="shared" si="11"/>
        <v>571.06396529700214</v>
      </c>
      <c r="AJ77" s="38">
        <f t="shared" si="11"/>
        <v>563.41574832415927</v>
      </c>
      <c r="AK77" s="38">
        <f t="shared" si="11"/>
        <v>555.89952259264305</v>
      </c>
      <c r="AL77" s="38">
        <f t="shared" si="11"/>
        <v>553.83853932132843</v>
      </c>
      <c r="AM77" s="38">
        <f t="shared" si="11"/>
        <v>543.15785805754581</v>
      </c>
      <c r="IV77" s="38"/>
    </row>
    <row r="78" spans="2:256" ht="14" customHeight="1">
      <c r="B78" s="32" t="s">
        <v>935</v>
      </c>
      <c r="Q78" s="38">
        <f t="shared" ref="Q78:AM78" si="12">SUM(Q66:Q70)</f>
        <v>391.57223727860617</v>
      </c>
      <c r="R78" s="38">
        <f t="shared" si="12"/>
        <v>455.22871621005999</v>
      </c>
      <c r="S78" s="38">
        <f t="shared" si="12"/>
        <v>453.14373631411354</v>
      </c>
      <c r="T78" s="38">
        <f t="shared" si="12"/>
        <v>451.08145545601502</v>
      </c>
      <c r="U78" s="38">
        <f t="shared" si="12"/>
        <v>449.0430669818839</v>
      </c>
      <c r="V78" s="38">
        <f t="shared" si="12"/>
        <v>447.02968686929876</v>
      </c>
      <c r="W78" s="38">
        <f t="shared" si="12"/>
        <v>445.04235488815442</v>
      </c>
      <c r="X78" s="38">
        <f t="shared" si="12"/>
        <v>443.0820359350999</v>
      </c>
      <c r="Y78" s="38">
        <f t="shared" si="12"/>
        <v>441.14962152592329</v>
      </c>
      <c r="Z78" s="38">
        <f t="shared" si="12"/>
        <v>439.24593143043319</v>
      </c>
      <c r="AA78" s="38">
        <f t="shared" si="12"/>
        <v>440.76553766702858</v>
      </c>
      <c r="AB78" s="38">
        <f t="shared" si="12"/>
        <v>440.21532002546724</v>
      </c>
      <c r="AC78" s="38">
        <f t="shared" si="12"/>
        <v>437.0740984451536</v>
      </c>
      <c r="AD78" s="38">
        <f t="shared" si="12"/>
        <v>433.94973066440184</v>
      </c>
      <c r="AE78" s="38">
        <f t="shared" si="12"/>
        <v>430.84282907400063</v>
      </c>
      <c r="AF78" s="38">
        <f t="shared" si="12"/>
        <v>427.75397054244445</v>
      </c>
      <c r="AG78" s="38">
        <f t="shared" si="12"/>
        <v>424.68369867858536</v>
      </c>
      <c r="AH78" s="38">
        <f t="shared" si="12"/>
        <v>421.63252603913145</v>
      </c>
      <c r="AI78" s="38">
        <f t="shared" si="12"/>
        <v>418.60093627159745</v>
      </c>
      <c r="AJ78" s="38">
        <f t="shared" si="12"/>
        <v>415.5893861844263</v>
      </c>
      <c r="AK78" s="38">
        <f t="shared" si="12"/>
        <v>410.74528822578509</v>
      </c>
      <c r="AL78" s="38">
        <f t="shared" si="12"/>
        <v>409.81302262609159</v>
      </c>
      <c r="AM78" s="38">
        <f t="shared" si="12"/>
        <v>403.84062251865731</v>
      </c>
      <c r="AN78" s="38"/>
    </row>
    <row r="79" spans="2:256" ht="14" customHeight="1">
      <c r="B79" s="32"/>
    </row>
    <row r="80" spans="2:256" ht="14" customHeight="1">
      <c r="B80" s="32"/>
    </row>
    <row r="81" spans="2:2" ht="14" customHeight="1">
      <c r="B81" s="32"/>
    </row>
    <row r="82" spans="2:2" ht="14" customHeight="1">
      <c r="B82" s="32"/>
    </row>
  </sheetData>
  <phoneticPr fontId="3" type="noConversion"/>
  <conditionalFormatting sqref="F14">
    <cfRule type="cellIs" dxfId="5" priority="1" stopIfTrue="1" operator="lessThan">
      <formula>$H$1</formula>
    </cfRule>
    <cfRule type="cellIs" dxfId="4" priority="2" stopIfTrue="1" operator="greaterThan">
      <formula>$G$1</formula>
    </cfRule>
  </conditionalFormatting>
  <pageMargins left="1" right="1" top="1" bottom="1" header="0.5" footer="0.5"/>
  <pageSetup orientation="landscape"/>
  <headerFooter alignWithMargins="0"/>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S145"/>
  <sheetViews>
    <sheetView workbookViewId="0"/>
  </sheetViews>
  <sheetFormatPr baseColWidth="10" defaultColWidth="10.1640625" defaultRowHeight="14" customHeight="1" x14ac:dyDescent="0"/>
  <cols>
    <col min="1" max="1" width="2.6640625" customWidth="1"/>
    <col min="2" max="41" width="10.1640625" customWidth="1"/>
    <col min="42" max="42" width="1.6640625" customWidth="1"/>
  </cols>
  <sheetData>
    <row r="1" spans="2:45" ht="14" customHeight="1">
      <c r="B1" s="59" t="s">
        <v>19</v>
      </c>
      <c r="L1" s="237">
        <f>Summary!F3</f>
        <v>41674</v>
      </c>
      <c r="AP1" s="6">
        <f>ROW()</f>
        <v>1</v>
      </c>
    </row>
    <row r="2" spans="2:45" ht="14" customHeight="1">
      <c r="AP2" s="6">
        <f>ROW()</f>
        <v>2</v>
      </c>
    </row>
    <row r="3" spans="2:45" ht="14" customHeight="1">
      <c r="AP3" s="6"/>
    </row>
    <row r="4" spans="2:45" ht="14" customHeight="1">
      <c r="B4" s="563" t="s">
        <v>814</v>
      </c>
      <c r="C4" s="556"/>
      <c r="D4" s="556"/>
      <c r="E4" s="556"/>
      <c r="F4" s="556"/>
      <c r="G4" s="556"/>
      <c r="H4" s="557"/>
      <c r="AP4" s="6"/>
    </row>
    <row r="5" spans="2:45" ht="14" customHeight="1">
      <c r="B5" s="558" t="s">
        <v>812</v>
      </c>
      <c r="C5" s="545"/>
      <c r="D5" s="545"/>
      <c r="E5" s="545"/>
      <c r="F5" s="559">
        <f>Summary!$J$67</f>
        <v>55.405615062708264</v>
      </c>
      <c r="G5" s="545"/>
      <c r="H5" s="548"/>
      <c r="AP5" s="6"/>
    </row>
    <row r="6" spans="2:45" ht="14" customHeight="1">
      <c r="B6" s="558" t="s">
        <v>816</v>
      </c>
      <c r="C6" s="545"/>
      <c r="D6" s="545"/>
      <c r="E6" s="545"/>
      <c r="F6" s="564" t="str">
        <f>IF(Summary!$J$69=1,CONCATENATE("$",Summary!$J$71,""),CONCATENATE("",Summary!$J$75*100,"%"))</f>
        <v>$0</v>
      </c>
      <c r="G6" s="545"/>
      <c r="H6" s="548"/>
      <c r="AP6" s="6"/>
    </row>
    <row r="7" spans="2:45" ht="14" customHeight="1">
      <c r="B7" s="558" t="s">
        <v>813</v>
      </c>
      <c r="C7" s="546"/>
      <c r="D7" s="545"/>
      <c r="E7" s="545"/>
      <c r="F7" s="545" t="str">
        <f>IF(Summary!$J$79="Nominal","No inflation indexing","Carbon tax is indexed to inflation")</f>
        <v>Carbon tax is indexed to inflation</v>
      </c>
      <c r="G7" s="545"/>
      <c r="H7" s="548"/>
      <c r="AP7" s="6"/>
    </row>
    <row r="8" spans="2:45" ht="14" customHeight="1">
      <c r="B8" s="560" t="s">
        <v>815</v>
      </c>
      <c r="C8" s="561"/>
      <c r="D8" s="551"/>
      <c r="E8" s="551"/>
      <c r="F8" s="566">
        <f>Summary!$J$92</f>
        <v>2015</v>
      </c>
      <c r="G8" s="551"/>
      <c r="H8" s="562"/>
      <c r="AP8" s="6">
        <f>ROW()</f>
        <v>8</v>
      </c>
    </row>
    <row r="9" spans="2:45" s="13" customFormat="1" ht="14" customHeight="1">
      <c r="B9" s="82"/>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c r="AO9"/>
      <c r="AP9" s="6">
        <f>ROW()</f>
        <v>9</v>
      </c>
      <c r="AQ9"/>
      <c r="AR9"/>
      <c r="AS9"/>
    </row>
    <row r="10" spans="2:45" s="13" customFormat="1" ht="14" customHeight="1">
      <c r="B10" s="8"/>
      <c r="C10"/>
      <c r="D10"/>
      <c r="E10"/>
      <c r="F10"/>
      <c r="G10"/>
      <c r="H10"/>
      <c r="I10" s="50"/>
      <c r="J10" s="50"/>
      <c r="K10" s="50"/>
      <c r="L10" s="50"/>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c r="AO10"/>
      <c r="AP10" s="6">
        <f>ROW()</f>
        <v>10</v>
      </c>
      <c r="AQ10"/>
      <c r="AR10"/>
      <c r="AS10"/>
    </row>
    <row r="11" spans="2:45" s="13" customFormat="1" ht="14" customHeight="1">
      <c r="B11"/>
      <c r="C11"/>
      <c r="D11"/>
      <c r="E11"/>
      <c r="F11"/>
      <c r="G11"/>
      <c r="H11"/>
      <c r="I11"/>
      <c r="J11"/>
      <c r="K11"/>
      <c r="L11"/>
      <c r="M11"/>
      <c r="N11"/>
      <c r="O11"/>
      <c r="P11"/>
      <c r="Q11"/>
      <c r="R11"/>
      <c r="S11"/>
      <c r="T11"/>
      <c r="U11"/>
      <c r="V11" s="81"/>
      <c r="W11" s="81"/>
      <c r="X11" s="81"/>
      <c r="Z11" s="81"/>
      <c r="AA11" s="81"/>
      <c r="AB11" s="81"/>
      <c r="AC11" s="81"/>
      <c r="AD11" s="81"/>
      <c r="AE11" s="81"/>
      <c r="AF11" s="81"/>
      <c r="AG11" s="81"/>
      <c r="AH11" s="81"/>
      <c r="AI11" s="81"/>
      <c r="AJ11" s="81"/>
      <c r="AK11" s="81"/>
      <c r="AL11" s="81"/>
      <c r="AM11" s="81"/>
      <c r="AN11"/>
      <c r="AO11"/>
      <c r="AP11" s="6">
        <f>ROW()</f>
        <v>11</v>
      </c>
      <c r="AQ11"/>
      <c r="AR11"/>
      <c r="AS11"/>
    </row>
    <row r="12" spans="2:45" s="13" customFormat="1" ht="14" customHeight="1">
      <c r="B12"/>
      <c r="C12"/>
      <c r="D12"/>
      <c r="E12"/>
      <c r="F12"/>
      <c r="G12"/>
      <c r="H12"/>
      <c r="I12"/>
      <c r="J12"/>
      <c r="K12"/>
      <c r="L12"/>
      <c r="M12"/>
      <c r="N12"/>
      <c r="O12"/>
      <c r="P12"/>
      <c r="Q12"/>
      <c r="R12"/>
      <c r="S12"/>
      <c r="T12"/>
      <c r="U12"/>
      <c r="V12" s="81"/>
      <c r="W12" s="81"/>
      <c r="X12" s="81"/>
      <c r="Z12" s="81"/>
      <c r="AA12" s="81"/>
      <c r="AB12" s="81"/>
      <c r="AC12" s="81"/>
      <c r="AD12" s="81"/>
      <c r="AE12" s="81"/>
      <c r="AF12" s="81"/>
      <c r="AG12" s="81"/>
      <c r="AH12" s="81"/>
      <c r="AI12" s="81"/>
      <c r="AJ12" s="81"/>
      <c r="AK12" s="81"/>
      <c r="AL12" s="81"/>
      <c r="AM12" s="81"/>
      <c r="AN12"/>
      <c r="AO12"/>
      <c r="AP12" s="6">
        <f>ROW()</f>
        <v>12</v>
      </c>
      <c r="AQ12"/>
      <c r="AR12"/>
      <c r="AS12"/>
    </row>
    <row r="13" spans="2:45" s="13" customFormat="1" ht="14" customHeight="1">
      <c r="B13"/>
      <c r="C13"/>
      <c r="D13"/>
      <c r="E13"/>
      <c r="F13"/>
      <c r="G13"/>
      <c r="H13"/>
      <c r="I13"/>
      <c r="J13"/>
      <c r="K13"/>
      <c r="L13"/>
      <c r="M13"/>
      <c r="N13"/>
      <c r="O13"/>
      <c r="P13"/>
      <c r="Q13"/>
      <c r="R13"/>
      <c r="S13"/>
      <c r="T13"/>
      <c r="U13"/>
      <c r="V13" s="81"/>
      <c r="W13" s="81"/>
      <c r="X13" s="81"/>
      <c r="Z13" s="81"/>
      <c r="AA13" s="81"/>
      <c r="AB13" s="81"/>
      <c r="AC13" s="81"/>
      <c r="AD13" s="81"/>
      <c r="AE13" s="81"/>
      <c r="AF13" s="81"/>
      <c r="AG13" s="81"/>
      <c r="AH13" s="81"/>
      <c r="AI13" s="81"/>
      <c r="AJ13" s="81"/>
      <c r="AK13" s="81"/>
      <c r="AL13" s="81"/>
      <c r="AM13" s="81"/>
      <c r="AN13"/>
      <c r="AO13"/>
      <c r="AP13" s="6">
        <f>ROW()</f>
        <v>13</v>
      </c>
      <c r="AQ13"/>
      <c r="AR13"/>
      <c r="AS13"/>
    </row>
    <row r="14" spans="2:45" s="13" customFormat="1" ht="14" customHeight="1">
      <c r="B14"/>
      <c r="C14"/>
      <c r="D14"/>
      <c r="E14"/>
      <c r="F14"/>
      <c r="G14"/>
      <c r="H14"/>
      <c r="I14"/>
      <c r="J14"/>
      <c r="K14"/>
      <c r="L14"/>
      <c r="M14"/>
      <c r="N14"/>
      <c r="O14"/>
      <c r="P14"/>
      <c r="Q14"/>
      <c r="R14"/>
      <c r="S14"/>
      <c r="T14"/>
      <c r="U14"/>
      <c r="V14" s="81"/>
      <c r="W14" s="81"/>
      <c r="X14" s="81"/>
      <c r="Z14" s="81"/>
      <c r="AA14" s="81"/>
      <c r="AB14" s="81"/>
      <c r="AC14" s="81"/>
      <c r="AD14" s="81"/>
      <c r="AE14" s="81"/>
      <c r="AF14" s="81"/>
      <c r="AG14" s="81"/>
      <c r="AH14" s="81"/>
      <c r="AI14" s="81"/>
      <c r="AJ14" s="81"/>
      <c r="AK14" s="81"/>
      <c r="AL14" s="81"/>
      <c r="AM14" s="81"/>
      <c r="AN14"/>
      <c r="AO14"/>
      <c r="AP14" s="6">
        <f>ROW()</f>
        <v>14</v>
      </c>
      <c r="AQ14"/>
      <c r="AR14"/>
      <c r="AS14"/>
    </row>
    <row r="15" spans="2:45" s="13" customFormat="1" ht="14" customHeight="1">
      <c r="B15"/>
      <c r="C15"/>
      <c r="D15"/>
      <c r="E15"/>
      <c r="F15"/>
      <c r="G15"/>
      <c r="H15"/>
      <c r="I15"/>
      <c r="J15"/>
      <c r="K15"/>
      <c r="L15"/>
      <c r="M15"/>
      <c r="N15"/>
      <c r="O15"/>
      <c r="P15"/>
      <c r="Q15"/>
      <c r="R15"/>
      <c r="S15"/>
      <c r="T15"/>
      <c r="U15"/>
      <c r="V15" s="81"/>
      <c r="W15" s="81"/>
      <c r="X15" s="81"/>
      <c r="Z15" s="81"/>
      <c r="AA15" s="81"/>
      <c r="AB15" s="81"/>
      <c r="AC15" s="81"/>
      <c r="AD15" s="81"/>
      <c r="AE15" s="81"/>
      <c r="AF15" s="81"/>
      <c r="AG15" s="81"/>
      <c r="AH15" s="81"/>
      <c r="AI15" s="81"/>
      <c r="AJ15" s="81"/>
      <c r="AK15" s="81"/>
      <c r="AL15" s="81"/>
      <c r="AM15" s="81"/>
      <c r="AN15"/>
      <c r="AO15"/>
      <c r="AP15" s="6">
        <f>ROW()</f>
        <v>15</v>
      </c>
      <c r="AQ15"/>
      <c r="AR15"/>
      <c r="AS15"/>
    </row>
    <row r="16" spans="2:45" s="13" customFormat="1" ht="14" customHeight="1">
      <c r="B16"/>
      <c r="C16"/>
      <c r="D16"/>
      <c r="E16"/>
      <c r="F16"/>
      <c r="G16"/>
      <c r="H16"/>
      <c r="I16"/>
      <c r="J16"/>
      <c r="K16"/>
      <c r="L16"/>
      <c r="M16"/>
      <c r="N16"/>
      <c r="O16"/>
      <c r="P16"/>
      <c r="Q16"/>
      <c r="R16"/>
      <c r="S16"/>
      <c r="T16"/>
      <c r="U16"/>
      <c r="V16" s="81"/>
      <c r="W16" s="81"/>
      <c r="X16" s="81"/>
      <c r="Z16" s="81"/>
      <c r="AA16" s="81"/>
      <c r="AB16" s="81"/>
      <c r="AC16" s="81"/>
      <c r="AD16" s="81"/>
      <c r="AE16" s="81"/>
      <c r="AF16" s="81"/>
      <c r="AG16" s="81"/>
      <c r="AH16" s="81"/>
      <c r="AI16" s="81"/>
      <c r="AJ16" s="81"/>
      <c r="AK16" s="81"/>
      <c r="AL16" s="81"/>
      <c r="AM16" s="81"/>
      <c r="AN16"/>
      <c r="AO16"/>
      <c r="AP16" s="6">
        <f>ROW()</f>
        <v>16</v>
      </c>
      <c r="AQ16"/>
      <c r="AR16"/>
      <c r="AS16"/>
    </row>
    <row r="17" spans="2:45" s="13" customFormat="1" ht="14" customHeight="1">
      <c r="B17"/>
      <c r="C17"/>
      <c r="D17"/>
      <c r="E17"/>
      <c r="F17"/>
      <c r="G17"/>
      <c r="H17"/>
      <c r="I17"/>
      <c r="J17"/>
      <c r="K17"/>
      <c r="L17"/>
      <c r="M17"/>
      <c r="N17"/>
      <c r="O17"/>
      <c r="P17"/>
      <c r="Q17"/>
      <c r="R17"/>
      <c r="S17"/>
      <c r="T17"/>
      <c r="U17"/>
      <c r="V17" s="81"/>
      <c r="W17" s="81"/>
      <c r="X17" s="81"/>
      <c r="Z17" s="81"/>
      <c r="AA17" s="81"/>
      <c r="AB17" s="81"/>
      <c r="AC17" s="81"/>
      <c r="AD17" s="81"/>
      <c r="AE17" s="81"/>
      <c r="AF17" s="81"/>
      <c r="AG17" s="81"/>
      <c r="AH17" s="81"/>
      <c r="AI17" s="81"/>
      <c r="AJ17" s="81"/>
      <c r="AK17" s="81"/>
      <c r="AL17" s="81"/>
      <c r="AM17" s="81"/>
      <c r="AN17"/>
      <c r="AO17"/>
      <c r="AP17" s="6">
        <f>ROW()</f>
        <v>17</v>
      </c>
      <c r="AQ17"/>
      <c r="AR17"/>
      <c r="AS17"/>
    </row>
    <row r="18" spans="2:45" s="13" customFormat="1" ht="14" customHeight="1">
      <c r="B18"/>
      <c r="C18"/>
      <c r="D18"/>
      <c r="E18"/>
      <c r="F18"/>
      <c r="G18"/>
      <c r="H18"/>
      <c r="I18"/>
      <c r="J18"/>
      <c r="K18"/>
      <c r="L18"/>
      <c r="M18"/>
      <c r="N18"/>
      <c r="O18"/>
      <c r="P18"/>
      <c r="Q18"/>
      <c r="R18"/>
      <c r="S18"/>
      <c r="T18"/>
      <c r="U18"/>
      <c r="V18" s="81"/>
      <c r="W18" s="81"/>
      <c r="X18" s="81"/>
      <c r="Z18" s="81"/>
      <c r="AA18" s="81"/>
      <c r="AB18" s="81"/>
      <c r="AC18" s="81"/>
      <c r="AD18" s="81"/>
      <c r="AE18" s="81"/>
      <c r="AF18" s="81"/>
      <c r="AG18" s="81"/>
      <c r="AH18" s="81"/>
      <c r="AI18" s="81"/>
      <c r="AJ18" s="81"/>
      <c r="AK18" s="81"/>
      <c r="AL18" s="81"/>
      <c r="AM18" s="81"/>
      <c r="AN18"/>
      <c r="AO18"/>
      <c r="AP18" s="6">
        <f>ROW()</f>
        <v>18</v>
      </c>
      <c r="AQ18"/>
      <c r="AR18"/>
      <c r="AS18"/>
    </row>
    <row r="19" spans="2:45" s="13" customFormat="1" ht="14" customHeight="1">
      <c r="B19"/>
      <c r="C19"/>
      <c r="D19"/>
      <c r="E19"/>
      <c r="F19"/>
      <c r="G19"/>
      <c r="H19"/>
      <c r="I19"/>
      <c r="J19"/>
      <c r="K19"/>
      <c r="L19"/>
      <c r="M19"/>
      <c r="N19"/>
      <c r="O19"/>
      <c r="P19"/>
      <c r="Q19"/>
      <c r="R19"/>
      <c r="S19"/>
      <c r="T19"/>
      <c r="U19"/>
      <c r="V19" s="81"/>
      <c r="W19" s="81"/>
      <c r="X19" s="81"/>
      <c r="Z19" s="81"/>
      <c r="AA19" s="81"/>
      <c r="AB19" s="81"/>
      <c r="AC19" s="81"/>
      <c r="AD19" s="81"/>
      <c r="AE19" s="81"/>
      <c r="AF19" s="81"/>
      <c r="AG19" s="81"/>
      <c r="AH19" s="81"/>
      <c r="AI19" s="81"/>
      <c r="AJ19" s="81"/>
      <c r="AK19" s="81"/>
      <c r="AL19" s="81"/>
      <c r="AM19" s="81"/>
      <c r="AN19"/>
      <c r="AO19"/>
      <c r="AP19" s="6">
        <f>ROW()</f>
        <v>19</v>
      </c>
      <c r="AQ19"/>
      <c r="AR19"/>
      <c r="AS19"/>
    </row>
    <row r="20" spans="2:45" s="13" customFormat="1" ht="14" customHeight="1">
      <c r="B20"/>
      <c r="C20"/>
      <c r="D20"/>
      <c r="E20"/>
      <c r="F20"/>
      <c r="G20"/>
      <c r="H20"/>
      <c r="I20"/>
      <c r="J20"/>
      <c r="K20"/>
      <c r="L20"/>
      <c r="M20"/>
      <c r="N20"/>
      <c r="O20"/>
      <c r="P20"/>
      <c r="Q20"/>
      <c r="R20"/>
      <c r="S20"/>
      <c r="T20"/>
      <c r="U20"/>
      <c r="V20" s="81"/>
      <c r="W20" s="81"/>
      <c r="X20" s="81"/>
      <c r="Z20" s="81"/>
      <c r="AA20" s="81"/>
      <c r="AB20" s="81"/>
      <c r="AC20" s="81"/>
      <c r="AD20" s="81"/>
      <c r="AE20" s="81"/>
      <c r="AF20" s="81"/>
      <c r="AG20" s="81"/>
      <c r="AH20" s="81"/>
      <c r="AI20" s="81"/>
      <c r="AJ20" s="81"/>
      <c r="AK20" s="81"/>
      <c r="AL20" s="81"/>
      <c r="AM20" s="81"/>
      <c r="AN20"/>
      <c r="AO20"/>
      <c r="AP20" s="6">
        <f>ROW()</f>
        <v>20</v>
      </c>
      <c r="AQ20"/>
      <c r="AR20"/>
      <c r="AS20"/>
    </row>
    <row r="21" spans="2:45" s="13" customFormat="1" ht="14" customHeight="1">
      <c r="B21"/>
      <c r="C21"/>
      <c r="D21"/>
      <c r="E21"/>
      <c r="F21"/>
      <c r="G21"/>
      <c r="H21"/>
      <c r="I21"/>
      <c r="J21"/>
      <c r="K21"/>
      <c r="L21"/>
      <c r="M21"/>
      <c r="N21"/>
      <c r="O21"/>
      <c r="P21"/>
      <c r="Q21"/>
      <c r="R21"/>
      <c r="S21"/>
      <c r="T21"/>
      <c r="U21"/>
      <c r="V21" s="81"/>
      <c r="W21" s="81"/>
      <c r="X21" s="81"/>
      <c r="Z21" s="81"/>
      <c r="AA21" s="81"/>
      <c r="AB21" s="81"/>
      <c r="AC21" s="81"/>
      <c r="AD21" s="81"/>
      <c r="AE21" s="81"/>
      <c r="AF21" s="81"/>
      <c r="AG21" s="81"/>
      <c r="AH21" s="81"/>
      <c r="AI21" s="81"/>
      <c r="AJ21" s="81"/>
      <c r="AK21" s="81"/>
      <c r="AL21" s="81"/>
      <c r="AM21" s="81"/>
      <c r="AN21"/>
      <c r="AO21"/>
      <c r="AP21" s="6">
        <f>ROW()</f>
        <v>21</v>
      </c>
      <c r="AQ21"/>
      <c r="AR21"/>
      <c r="AS21"/>
    </row>
    <row r="22" spans="2:45" s="13" customFormat="1" ht="14" customHeight="1">
      <c r="B22"/>
      <c r="C22"/>
      <c r="D22"/>
      <c r="E22"/>
      <c r="F22"/>
      <c r="G22"/>
      <c r="H22"/>
      <c r="I22"/>
      <c r="J22"/>
      <c r="K22"/>
      <c r="L22"/>
      <c r="M22"/>
      <c r="N22"/>
      <c r="O22"/>
      <c r="P22"/>
      <c r="Q22"/>
      <c r="R22"/>
      <c r="S22"/>
      <c r="T22"/>
      <c r="U22"/>
      <c r="V22" s="81"/>
      <c r="W22" s="81"/>
      <c r="X22" s="81"/>
      <c r="Z22" s="81"/>
      <c r="AA22" s="81"/>
      <c r="AB22" s="81"/>
      <c r="AC22" s="81"/>
      <c r="AD22" s="81"/>
      <c r="AE22" s="81"/>
      <c r="AF22" s="81"/>
      <c r="AG22" s="81"/>
      <c r="AH22" s="81"/>
      <c r="AI22" s="81"/>
      <c r="AJ22" s="81"/>
      <c r="AK22" s="81"/>
      <c r="AL22" s="81"/>
      <c r="AM22" s="81"/>
      <c r="AN22"/>
      <c r="AO22"/>
      <c r="AP22" s="6">
        <f>ROW()</f>
        <v>22</v>
      </c>
      <c r="AQ22"/>
      <c r="AR22"/>
      <c r="AS22"/>
    </row>
    <row r="23" spans="2:45" s="13" customFormat="1" ht="14" customHeight="1">
      <c r="B23"/>
      <c r="C23"/>
      <c r="D23"/>
      <c r="E23"/>
      <c r="F23"/>
      <c r="G23"/>
      <c r="H23"/>
      <c r="I23"/>
      <c r="J23"/>
      <c r="K23"/>
      <c r="L23"/>
      <c r="M23"/>
      <c r="N23"/>
      <c r="O23"/>
      <c r="P23"/>
      <c r="Q23"/>
      <c r="R23"/>
      <c r="S23"/>
      <c r="T23"/>
      <c r="U23"/>
      <c r="V23" s="81"/>
      <c r="W23" s="81"/>
      <c r="X23" s="81"/>
      <c r="Z23" s="81"/>
      <c r="AA23" s="81"/>
      <c r="AB23" s="81"/>
      <c r="AC23" s="81"/>
      <c r="AD23" s="81"/>
      <c r="AE23" s="81"/>
      <c r="AF23" s="81"/>
      <c r="AG23" s="81"/>
      <c r="AH23" s="81"/>
      <c r="AI23" s="81"/>
      <c r="AJ23" s="81"/>
      <c r="AK23" s="81"/>
      <c r="AL23" s="81"/>
      <c r="AM23" s="81"/>
      <c r="AN23"/>
      <c r="AO23"/>
      <c r="AP23" s="6">
        <f>ROW()</f>
        <v>23</v>
      </c>
      <c r="AQ23"/>
      <c r="AR23"/>
      <c r="AS23"/>
    </row>
    <row r="24" spans="2:45" s="13" customFormat="1" ht="14" customHeight="1">
      <c r="B24"/>
      <c r="C24"/>
      <c r="D24"/>
      <c r="E24"/>
      <c r="F24"/>
      <c r="G24"/>
      <c r="H24"/>
      <c r="I24"/>
      <c r="J24"/>
      <c r="K24"/>
      <c r="L24"/>
      <c r="M24"/>
      <c r="N24"/>
      <c r="O24"/>
      <c r="P24"/>
      <c r="Q24"/>
      <c r="R24"/>
      <c r="S24"/>
      <c r="T24"/>
      <c r="U24"/>
      <c r="V24" s="81"/>
      <c r="W24" s="81"/>
      <c r="X24" s="81"/>
      <c r="Z24" s="81"/>
      <c r="AA24" s="81"/>
      <c r="AB24" s="81"/>
      <c r="AC24" s="81"/>
      <c r="AD24" s="81"/>
      <c r="AE24" s="81"/>
      <c r="AF24" s="81"/>
      <c r="AG24" s="81"/>
      <c r="AH24" s="81"/>
      <c r="AI24" s="81"/>
      <c r="AJ24" s="81"/>
      <c r="AK24" s="81"/>
      <c r="AL24" s="81"/>
      <c r="AM24" s="81"/>
      <c r="AN24"/>
      <c r="AO24"/>
      <c r="AP24" s="6">
        <f>ROW()</f>
        <v>24</v>
      </c>
      <c r="AQ24"/>
      <c r="AR24"/>
      <c r="AS24"/>
    </row>
    <row r="25" spans="2:45" s="13" customFormat="1" ht="14" customHeight="1">
      <c r="B25"/>
      <c r="C25"/>
      <c r="D25"/>
      <c r="E25"/>
      <c r="F25"/>
      <c r="G25"/>
      <c r="H25"/>
      <c r="I25"/>
      <c r="J25"/>
      <c r="K25"/>
      <c r="L25"/>
      <c r="M25"/>
      <c r="N25"/>
      <c r="O25"/>
      <c r="P25"/>
      <c r="Q25"/>
      <c r="R25"/>
      <c r="S25"/>
      <c r="T25"/>
      <c r="U25"/>
      <c r="V25" s="81"/>
      <c r="W25" s="81"/>
      <c r="X25" s="81"/>
      <c r="Z25" s="81"/>
      <c r="AA25" s="81"/>
      <c r="AB25" s="81"/>
      <c r="AC25" s="81"/>
      <c r="AD25" s="81"/>
      <c r="AE25" s="81"/>
      <c r="AF25" s="81"/>
      <c r="AG25" s="81"/>
      <c r="AH25" s="81"/>
      <c r="AI25" s="81"/>
      <c r="AJ25" s="81"/>
      <c r="AK25" s="81"/>
      <c r="AL25" s="81"/>
      <c r="AM25" s="81"/>
      <c r="AN25"/>
      <c r="AO25"/>
      <c r="AP25" s="6">
        <f>ROW()</f>
        <v>25</v>
      </c>
      <c r="AQ25"/>
      <c r="AR25"/>
      <c r="AS25"/>
    </row>
    <row r="26" spans="2:45" s="13" customFormat="1" ht="14" customHeight="1">
      <c r="B26"/>
      <c r="C26"/>
      <c r="D26"/>
      <c r="E26"/>
      <c r="F26"/>
      <c r="G26"/>
      <c r="H26"/>
      <c r="I26"/>
      <c r="J26"/>
      <c r="K26"/>
      <c r="L26"/>
      <c r="M26"/>
      <c r="N26"/>
      <c r="O26"/>
      <c r="P26"/>
      <c r="Q26"/>
      <c r="R26"/>
      <c r="S26"/>
      <c r="T26"/>
      <c r="U26"/>
      <c r="V26" s="81"/>
      <c r="W26" s="81"/>
      <c r="X26" s="81"/>
      <c r="Z26" s="81"/>
      <c r="AA26" s="81"/>
      <c r="AB26" s="81"/>
      <c r="AC26" s="81"/>
      <c r="AD26" s="81"/>
      <c r="AE26" s="81"/>
      <c r="AF26" s="81"/>
      <c r="AG26" s="81"/>
      <c r="AH26" s="81"/>
      <c r="AI26" s="81"/>
      <c r="AJ26" s="81"/>
      <c r="AK26" s="81"/>
      <c r="AL26" s="81"/>
      <c r="AM26" s="81"/>
      <c r="AN26"/>
      <c r="AO26"/>
      <c r="AP26" s="6">
        <f>ROW()</f>
        <v>26</v>
      </c>
      <c r="AQ26"/>
      <c r="AR26"/>
      <c r="AS26"/>
    </row>
    <row r="27" spans="2:45" s="13" customFormat="1" ht="14" customHeight="1">
      <c r="B27"/>
      <c r="C27"/>
      <c r="D27"/>
      <c r="E27"/>
      <c r="F27"/>
      <c r="G27"/>
      <c r="H27"/>
      <c r="I27"/>
      <c r="J27"/>
      <c r="K27"/>
      <c r="L27"/>
      <c r="M27"/>
      <c r="N27"/>
      <c r="O27"/>
      <c r="P27"/>
      <c r="Q27"/>
      <c r="R27"/>
      <c r="S27"/>
      <c r="T27"/>
      <c r="U27"/>
      <c r="V27" s="81"/>
      <c r="W27" s="81"/>
      <c r="X27" s="81"/>
      <c r="Z27" s="81"/>
      <c r="AA27" s="81"/>
      <c r="AB27" s="81"/>
      <c r="AC27" s="81"/>
      <c r="AD27" s="81"/>
      <c r="AE27" s="81"/>
      <c r="AF27" s="81"/>
      <c r="AG27" s="81"/>
      <c r="AH27" s="81"/>
      <c r="AI27" s="81"/>
      <c r="AJ27" s="81"/>
      <c r="AK27" s="81"/>
      <c r="AL27" s="81"/>
      <c r="AM27" s="81"/>
      <c r="AN27"/>
      <c r="AO27"/>
      <c r="AP27" s="6">
        <f>ROW()</f>
        <v>27</v>
      </c>
      <c r="AQ27"/>
      <c r="AR27"/>
      <c r="AS27"/>
    </row>
    <row r="28" spans="2:45" s="13" customFormat="1" ht="14" customHeight="1">
      <c r="B28"/>
      <c r="C28"/>
      <c r="D28"/>
      <c r="E28"/>
      <c r="F28"/>
      <c r="G28"/>
      <c r="H28"/>
      <c r="I28"/>
      <c r="J28"/>
      <c r="K28"/>
      <c r="L28"/>
      <c r="M28"/>
      <c r="N28"/>
      <c r="O28"/>
      <c r="P28"/>
      <c r="Q28"/>
      <c r="R28"/>
      <c r="S28"/>
      <c r="T28"/>
      <c r="U28"/>
      <c r="V28" s="81"/>
      <c r="W28" s="81"/>
      <c r="X28" s="81"/>
      <c r="Z28" s="81"/>
      <c r="AA28" s="81"/>
      <c r="AB28" s="81"/>
      <c r="AC28" s="81"/>
      <c r="AD28" s="81"/>
      <c r="AE28" s="81"/>
      <c r="AF28" s="81"/>
      <c r="AG28" s="81"/>
      <c r="AH28" s="81"/>
      <c r="AI28" s="81"/>
      <c r="AJ28" s="81"/>
      <c r="AK28" s="81"/>
      <c r="AL28" s="81"/>
      <c r="AM28" s="81"/>
      <c r="AN28"/>
      <c r="AO28"/>
      <c r="AP28" s="6">
        <f>ROW()</f>
        <v>28</v>
      </c>
      <c r="AQ28"/>
      <c r="AR28"/>
      <c r="AS28"/>
    </row>
    <row r="29" spans="2:45" s="13" customFormat="1" ht="14" customHeight="1">
      <c r="B29"/>
      <c r="C29"/>
      <c r="D29"/>
      <c r="E29"/>
      <c r="F29"/>
      <c r="G29"/>
      <c r="H29"/>
      <c r="I29"/>
      <c r="J29"/>
      <c r="K29"/>
      <c r="L29"/>
      <c r="M29"/>
      <c r="N29"/>
      <c r="O29"/>
      <c r="P29"/>
      <c r="Q29"/>
      <c r="R29"/>
      <c r="S29"/>
      <c r="T29"/>
      <c r="U29"/>
      <c r="V29" s="81"/>
      <c r="W29" s="81"/>
      <c r="X29" s="81"/>
      <c r="Z29" s="81"/>
      <c r="AA29" s="81"/>
      <c r="AB29" s="81"/>
      <c r="AC29" s="81"/>
      <c r="AD29" s="81"/>
      <c r="AE29" s="81"/>
      <c r="AF29" s="81"/>
      <c r="AG29" s="81"/>
      <c r="AH29" s="81"/>
      <c r="AI29" s="81"/>
      <c r="AJ29" s="81"/>
      <c r="AK29" s="81"/>
      <c r="AL29" s="81"/>
      <c r="AM29" s="81"/>
      <c r="AN29"/>
      <c r="AO29"/>
      <c r="AP29" s="6">
        <f>ROW()</f>
        <v>29</v>
      </c>
      <c r="AQ29"/>
      <c r="AR29"/>
      <c r="AS29"/>
    </row>
    <row r="30" spans="2:45" s="13" customFormat="1" ht="14" customHeight="1">
      <c r="B30"/>
      <c r="C30"/>
      <c r="D30"/>
      <c r="E30"/>
      <c r="F30"/>
      <c r="G30"/>
      <c r="H30"/>
      <c r="I30"/>
      <c r="J30"/>
      <c r="K30"/>
      <c r="L30"/>
      <c r="M30"/>
      <c r="N30"/>
      <c r="O30"/>
      <c r="P30"/>
      <c r="Q30"/>
      <c r="R30"/>
      <c r="S30"/>
      <c r="T30"/>
      <c r="U30"/>
      <c r="V30" s="81"/>
      <c r="W30" s="81"/>
      <c r="X30" s="81"/>
      <c r="Z30" s="81"/>
      <c r="AA30" s="81"/>
      <c r="AB30" s="81"/>
      <c r="AC30" s="81"/>
      <c r="AD30" s="81"/>
      <c r="AE30" s="81"/>
      <c r="AF30" s="81"/>
      <c r="AG30" s="81"/>
      <c r="AH30" s="81"/>
      <c r="AI30" s="81"/>
      <c r="AJ30" s="81"/>
      <c r="AK30" s="81"/>
      <c r="AL30" s="81"/>
      <c r="AM30" s="81"/>
      <c r="AN30"/>
      <c r="AO30"/>
      <c r="AP30" s="6">
        <f>ROW()</f>
        <v>30</v>
      </c>
      <c r="AQ30"/>
      <c r="AR30"/>
      <c r="AS30"/>
    </row>
    <row r="31" spans="2:45" s="13" customFormat="1" ht="14" customHeight="1">
      <c r="B31"/>
      <c r="C31"/>
      <c r="D31"/>
      <c r="E31"/>
      <c r="F31"/>
      <c r="G31"/>
      <c r="H31"/>
      <c r="I31"/>
      <c r="J31"/>
      <c r="K31"/>
      <c r="L31"/>
      <c r="M31" s="81"/>
      <c r="N31"/>
      <c r="O31"/>
      <c r="P31"/>
      <c r="Q31"/>
      <c r="R31"/>
      <c r="S31"/>
      <c r="T31"/>
      <c r="U31"/>
      <c r="V31"/>
      <c r="W31" s="81"/>
      <c r="X31" s="81"/>
      <c r="Y31" s="81"/>
      <c r="Z31" s="81"/>
      <c r="AA31" s="81"/>
      <c r="AB31" s="81"/>
      <c r="AC31" s="81"/>
      <c r="AD31" s="81"/>
      <c r="AE31" s="81"/>
      <c r="AF31" s="81"/>
      <c r="AG31" s="81"/>
      <c r="AH31" s="81"/>
      <c r="AI31" s="81"/>
      <c r="AJ31" s="81"/>
      <c r="AK31" s="81"/>
      <c r="AL31" s="81"/>
      <c r="AM31" s="81"/>
      <c r="AN31"/>
      <c r="AO31"/>
      <c r="AP31" s="6">
        <f>ROW()</f>
        <v>31</v>
      </c>
      <c r="AQ31"/>
      <c r="AR31"/>
      <c r="AS31"/>
    </row>
    <row r="32" spans="2:45" s="13" customFormat="1" ht="14" customHeight="1">
      <c r="B32"/>
      <c r="C32"/>
      <c r="D32"/>
      <c r="E32"/>
      <c r="F32"/>
      <c r="G32"/>
      <c r="H32"/>
      <c r="I32"/>
      <c r="J32"/>
      <c r="K32"/>
      <c r="L32"/>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c r="AO32"/>
      <c r="AP32" s="6">
        <f>ROW()</f>
        <v>32</v>
      </c>
      <c r="AQ32"/>
      <c r="AR32"/>
      <c r="AS32"/>
    </row>
    <row r="33" spans="2:45" s="13" customFormat="1" ht="14" customHeight="1">
      <c r="B33"/>
      <c r="C33"/>
      <c r="D33"/>
      <c r="E33"/>
      <c r="F33"/>
      <c r="G33"/>
      <c r="H33"/>
      <c r="I33"/>
      <c r="J33"/>
      <c r="K33"/>
      <c r="L33"/>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c r="AO33"/>
      <c r="AP33" s="6">
        <f>ROW()</f>
        <v>33</v>
      </c>
      <c r="AQ33"/>
      <c r="AR33"/>
      <c r="AS33"/>
    </row>
    <row r="34" spans="2:45" s="13" customFormat="1" ht="14" customHeight="1">
      <c r="B34"/>
      <c r="C34"/>
      <c r="D34"/>
      <c r="E34"/>
      <c r="F34"/>
      <c r="G34"/>
      <c r="H34"/>
      <c r="I34"/>
      <c r="J34"/>
      <c r="K34"/>
      <c r="L34"/>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c r="AO34"/>
      <c r="AP34" s="6">
        <f>ROW()</f>
        <v>34</v>
      </c>
      <c r="AQ34"/>
      <c r="AR34"/>
      <c r="AS34"/>
    </row>
    <row r="35" spans="2:45" s="13" customFormat="1" ht="14" customHeight="1">
      <c r="B35"/>
      <c r="C35"/>
      <c r="D35"/>
      <c r="E35"/>
      <c r="F35"/>
      <c r="G35"/>
      <c r="H35"/>
      <c r="I35"/>
      <c r="J35"/>
      <c r="K35"/>
      <c r="L35"/>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c r="AO35"/>
      <c r="AP35" s="6">
        <f>ROW()</f>
        <v>35</v>
      </c>
      <c r="AQ35"/>
      <c r="AR35"/>
      <c r="AS35"/>
    </row>
    <row r="36" spans="2:45" s="13" customFormat="1" ht="14" customHeight="1">
      <c r="B36" s="32" t="s">
        <v>655</v>
      </c>
      <c r="C36"/>
      <c r="D36"/>
      <c r="E36"/>
      <c r="F36"/>
      <c r="G36"/>
      <c r="H36"/>
      <c r="I36"/>
      <c r="J36"/>
      <c r="K36"/>
      <c r="L36"/>
      <c r="M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c r="AO36"/>
      <c r="AP36" s="6">
        <f>ROW()</f>
        <v>36</v>
      </c>
      <c r="AQ36"/>
      <c r="AR36"/>
      <c r="AS36"/>
    </row>
    <row r="37" spans="2:45" ht="14" customHeight="1">
      <c r="AP37" s="6">
        <f>ROW()</f>
        <v>37</v>
      </c>
    </row>
    <row r="38" spans="2:45" ht="14" customHeight="1">
      <c r="I38" s="118"/>
      <c r="J38" s="118"/>
      <c r="K38" s="117" t="s">
        <v>67</v>
      </c>
      <c r="L38" s="83" t="s">
        <v>25</v>
      </c>
      <c r="M38" s="83"/>
      <c r="N38" s="83"/>
      <c r="O38" s="83"/>
      <c r="P38" s="83"/>
      <c r="Q38" s="84"/>
      <c r="R38" s="84"/>
      <c r="S38" s="84"/>
      <c r="T38" s="84"/>
      <c r="U38" s="84"/>
      <c r="V38" s="84"/>
      <c r="W38" s="84"/>
      <c r="X38" s="84"/>
      <c r="Y38" s="84"/>
      <c r="Z38" s="84"/>
      <c r="AA38" s="84"/>
      <c r="AB38" s="84"/>
      <c r="AC38" s="84"/>
      <c r="AD38" s="84"/>
      <c r="AE38" s="84"/>
      <c r="AF38" s="84"/>
      <c r="AG38" s="84"/>
      <c r="AH38" s="84"/>
      <c r="AI38" s="84"/>
      <c r="AJ38" s="84"/>
      <c r="AK38" s="84"/>
      <c r="AL38" s="84"/>
      <c r="AM38" s="84"/>
      <c r="AP38" s="6">
        <f>ROW()</f>
        <v>38</v>
      </c>
    </row>
    <row r="39" spans="2:45" s="13" customFormat="1" ht="14" customHeight="1">
      <c r="B39" s="8" t="s">
        <v>656</v>
      </c>
      <c r="I39" s="81">
        <f>Summary!I116</f>
        <v>2005</v>
      </c>
      <c r="J39" s="81">
        <f>Summary!J116</f>
        <v>2006</v>
      </c>
      <c r="K39" s="81">
        <f>Summary!K116</f>
        <v>2007</v>
      </c>
      <c r="L39" s="81">
        <f>Summary!L116</f>
        <v>2008</v>
      </c>
      <c r="M39" s="81">
        <f>Summary!M116</f>
        <v>2009</v>
      </c>
      <c r="N39" s="81">
        <f>Summary!N116</f>
        <v>2010</v>
      </c>
      <c r="O39" s="81">
        <f>Summary!O116</f>
        <v>2011</v>
      </c>
      <c r="P39" s="81">
        <f>Summary!P116</f>
        <v>2012</v>
      </c>
      <c r="Q39" s="81">
        <f>Summary!Q116</f>
        <v>2015</v>
      </c>
      <c r="R39" s="81">
        <f>Summary!R116</f>
        <v>2016</v>
      </c>
      <c r="S39" s="81">
        <f>Summary!S116</f>
        <v>2017</v>
      </c>
      <c r="T39" s="81">
        <f>Summary!T116</f>
        <v>2018</v>
      </c>
      <c r="U39" s="81">
        <f>Summary!U116</f>
        <v>2019</v>
      </c>
      <c r="V39" s="81">
        <f>Summary!V116</f>
        <v>2020</v>
      </c>
      <c r="W39" s="81">
        <f>Summary!W116</f>
        <v>2021</v>
      </c>
      <c r="X39" s="81">
        <f>Summary!X116</f>
        <v>2022</v>
      </c>
      <c r="Y39" s="81">
        <f>Summary!Y116</f>
        <v>2023</v>
      </c>
      <c r="Z39" s="81">
        <f>Summary!Z116</f>
        <v>2024</v>
      </c>
      <c r="AA39" s="81">
        <f>Summary!AA116</f>
        <v>2025</v>
      </c>
      <c r="AB39" s="81">
        <f>Summary!AB116</f>
        <v>2026</v>
      </c>
      <c r="AC39" s="81">
        <f>Summary!AC116</f>
        <v>2027</v>
      </c>
      <c r="AD39" s="81">
        <f>Summary!AD116</f>
        <v>2028</v>
      </c>
      <c r="AE39" s="81">
        <f>Summary!AE116</f>
        <v>2029</v>
      </c>
      <c r="AF39" s="81">
        <f>Summary!AF116</f>
        <v>2030</v>
      </c>
      <c r="AG39" s="81">
        <f>Summary!AG116</f>
        <v>2031</v>
      </c>
      <c r="AH39" s="81">
        <f>Summary!AH116</f>
        <v>2032</v>
      </c>
      <c r="AI39" s="81">
        <f>Summary!AI116</f>
        <v>2033</v>
      </c>
      <c r="AJ39" s="81">
        <f>Summary!AJ116</f>
        <v>2034</v>
      </c>
      <c r="AK39" s="81">
        <f>Summary!AK116</f>
        <v>2035</v>
      </c>
      <c r="AL39" s="81">
        <f>Summary!AL116</f>
        <v>2036</v>
      </c>
      <c r="AM39" s="81">
        <f>Summary!AM116</f>
        <v>2037</v>
      </c>
      <c r="AN39"/>
      <c r="AO39"/>
      <c r="AP39" s="6">
        <f>ROW()</f>
        <v>39</v>
      </c>
      <c r="AQ39"/>
      <c r="AR39"/>
      <c r="AS39"/>
    </row>
    <row r="40" spans="2:45" s="13" customFormat="1" ht="14" customHeight="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c r="AO40"/>
      <c r="AP40" s="6">
        <f>ROW()</f>
        <v>40</v>
      </c>
      <c r="AQ40"/>
      <c r="AR40"/>
      <c r="AS40"/>
    </row>
    <row r="41" spans="2:45" ht="14" customHeight="1">
      <c r="B41" s="8" t="s">
        <v>22</v>
      </c>
      <c r="I41" s="38">
        <f>I50</f>
        <v>21016.468289499317</v>
      </c>
      <c r="J41" s="38">
        <f t="shared" ref="J41:AM41" si="0">J50</f>
        <v>21308.768334321547</v>
      </c>
      <c r="K41" s="38">
        <f t="shared" si="0"/>
        <v>20957.812013670442</v>
      </c>
      <c r="L41" s="38">
        <f t="shared" si="0"/>
        <v>20118.592840936548</v>
      </c>
      <c r="M41" s="38">
        <f t="shared" si="0"/>
        <v>19476.656921272483</v>
      </c>
      <c r="N41" s="38">
        <f t="shared" si="0"/>
        <v>19798.727094632573</v>
      </c>
      <c r="O41" s="38">
        <f t="shared" si="0"/>
        <v>19585.93374902815</v>
      </c>
      <c r="P41" s="38">
        <f>P50</f>
        <v>18799.024825343098</v>
      </c>
      <c r="Q41" s="38">
        <f t="shared" si="0"/>
        <v>18759.216711484631</v>
      </c>
      <c r="R41" s="38">
        <f t="shared" si="0"/>
        <v>18892.781671410849</v>
      </c>
      <c r="S41" s="38">
        <f t="shared" si="0"/>
        <v>19027.4564080419</v>
      </c>
      <c r="T41" s="38">
        <f t="shared" si="0"/>
        <v>19163.277696704223</v>
      </c>
      <c r="U41" s="38">
        <f t="shared" si="0"/>
        <v>19300.283047102261</v>
      </c>
      <c r="V41" s="38">
        <f t="shared" si="0"/>
        <v>19438.510712908093</v>
      </c>
      <c r="W41" s="38">
        <f t="shared" si="0"/>
        <v>19577.999702318753</v>
      </c>
      <c r="X41" s="38">
        <f t="shared" si="0"/>
        <v>19718.789789584654</v>
      </c>
      <c r="Y41" s="38">
        <f t="shared" si="0"/>
        <v>19860.921527511782</v>
      </c>
      <c r="Z41" s="38">
        <f t="shared" si="0"/>
        <v>20004.436260939729</v>
      </c>
      <c r="AA41" s="38">
        <f t="shared" si="0"/>
        <v>20122.212338314115</v>
      </c>
      <c r="AB41" s="38">
        <f t="shared" si="0"/>
        <v>20240.206393611992</v>
      </c>
      <c r="AC41" s="38">
        <f t="shared" si="0"/>
        <v>20359.313255376463</v>
      </c>
      <c r="AD41" s="38">
        <f t="shared" si="0"/>
        <v>20479.570160376054</v>
      </c>
      <c r="AE41" s="38">
        <f t="shared" si="0"/>
        <v>20601.014928002976</v>
      </c>
      <c r="AF41" s="38">
        <f t="shared" si="0"/>
        <v>20723.685972523599</v>
      </c>
      <c r="AG41" s="38">
        <f t="shared" si="0"/>
        <v>20847.622316114997</v>
      </c>
      <c r="AH41" s="38">
        <f t="shared" si="0"/>
        <v>20972.863602679165</v>
      </c>
      <c r="AI41" s="38">
        <f t="shared" si="0"/>
        <v>21099.450112426683</v>
      </c>
      <c r="AJ41" s="38">
        <f t="shared" si="0"/>
        <v>21227.42277722228</v>
      </c>
      <c r="AK41" s="38">
        <f t="shared" si="0"/>
        <v>21371.892790629994</v>
      </c>
      <c r="AL41" s="38">
        <f t="shared" si="0"/>
        <v>21517.555696191743</v>
      </c>
      <c r="AM41" s="38">
        <f t="shared" si="0"/>
        <v>21679.180659584574</v>
      </c>
      <c r="AP41" s="6">
        <f>ROW()</f>
        <v>41</v>
      </c>
    </row>
    <row r="42" spans="2:45" ht="14" customHeight="1">
      <c r="B42" s="91" t="str">
        <f>CONCATENATE("Figures are copied from Row ",AP50, ".")</f>
        <v>Figures are copied from Row 50.</v>
      </c>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P42" s="6">
        <f>ROW()</f>
        <v>42</v>
      </c>
    </row>
    <row r="43" spans="2:45" ht="14" customHeight="1">
      <c r="B43" s="8" t="s">
        <v>341</v>
      </c>
      <c r="I43" s="38">
        <f>I61</f>
        <v>21016.468289499317</v>
      </c>
      <c r="J43" s="38">
        <f t="shared" ref="J43:AM43" si="1">J61</f>
        <v>21308.768334321547</v>
      </c>
      <c r="K43" s="38">
        <f t="shared" si="1"/>
        <v>20957.812013670442</v>
      </c>
      <c r="L43" s="38">
        <f t="shared" si="1"/>
        <v>20118.592840936548</v>
      </c>
      <c r="M43" s="38">
        <f t="shared" si="1"/>
        <v>19476.656921272483</v>
      </c>
      <c r="N43" s="38">
        <f t="shared" si="1"/>
        <v>19798.727094632573</v>
      </c>
      <c r="O43" s="38">
        <f t="shared" si="1"/>
        <v>19585.93374902815</v>
      </c>
      <c r="P43" s="38">
        <f>P61</f>
        <v>18799.024825343098</v>
      </c>
      <c r="Q43" s="38">
        <f t="shared" si="1"/>
        <v>16786.576606613067</v>
      </c>
      <c r="R43" s="38">
        <f t="shared" si="1"/>
        <v>16911.683680340677</v>
      </c>
      <c r="S43" s="38">
        <f t="shared" si="1"/>
        <v>17036.645914260334</v>
      </c>
      <c r="T43" s="38">
        <f t="shared" si="1"/>
        <v>17161.464853843543</v>
      </c>
      <c r="U43" s="38">
        <f t="shared" si="1"/>
        <v>17286.142604547123</v>
      </c>
      <c r="V43" s="38">
        <f t="shared" si="1"/>
        <v>17410.681815993783</v>
      </c>
      <c r="W43" s="38">
        <f t="shared" si="1"/>
        <v>17535.085665505478</v>
      </c>
      <c r="X43" s="38">
        <f t="shared" si="1"/>
        <v>17659.357841079487</v>
      </c>
      <c r="Y43" s="38">
        <f t="shared" si="1"/>
        <v>17783.502523895782</v>
      </c>
      <c r="Z43" s="38">
        <f t="shared" si="1"/>
        <v>17907.524370441475</v>
      </c>
      <c r="AA43" s="38">
        <f t="shared" si="1"/>
        <v>18007.348515398131</v>
      </c>
      <c r="AB43" s="38">
        <f t="shared" si="1"/>
        <v>18106.281041054488</v>
      </c>
      <c r="AC43" s="38">
        <f t="shared" si="1"/>
        <v>18204.811432208291</v>
      </c>
      <c r="AD43" s="38">
        <f t="shared" si="1"/>
        <v>18302.947448335177</v>
      </c>
      <c r="AE43" s="38">
        <f t="shared" si="1"/>
        <v>18400.697188950297</v>
      </c>
      <c r="AF43" s="38">
        <f t="shared" si="1"/>
        <v>18498.06907253437</v>
      </c>
      <c r="AG43" s="38">
        <f t="shared" si="1"/>
        <v>18595.071815767649</v>
      </c>
      <c r="AH43" s="38">
        <f t="shared" si="1"/>
        <v>18691.714413123944</v>
      </c>
      <c r="AI43" s="38">
        <f t="shared" si="1"/>
        <v>18788.00611687222</v>
      </c>
      <c r="AJ43" s="38">
        <f t="shared" si="1"/>
        <v>18883.956417527916</v>
      </c>
      <c r="AK43" s="38">
        <f t="shared" si="1"/>
        <v>18992.726130903378</v>
      </c>
      <c r="AL43" s="38">
        <f t="shared" si="1"/>
        <v>19101.008374032881</v>
      </c>
      <c r="AM43" s="38">
        <f t="shared" si="1"/>
        <v>19221.470143978277</v>
      </c>
      <c r="AP43" s="6">
        <f>ROW()</f>
        <v>43</v>
      </c>
    </row>
    <row r="44" spans="2:45" ht="14" customHeight="1">
      <c r="B44" s="91" t="str">
        <f>CONCATENATE("Figures are copied from Row ",AP52, ".")</f>
        <v>Figures are copied from Row 52.</v>
      </c>
      <c r="I44" s="50"/>
      <c r="J44" s="50"/>
      <c r="K44" s="50"/>
      <c r="M44" s="50"/>
      <c r="N44" s="50"/>
      <c r="O44" s="50"/>
      <c r="P44" s="50"/>
      <c r="Q44" s="50"/>
      <c r="R44" s="50"/>
      <c r="S44" s="50"/>
      <c r="T44" s="50"/>
      <c r="U44" s="50"/>
      <c r="V44" s="50"/>
      <c r="W44" s="50"/>
      <c r="X44" s="50"/>
      <c r="AP44" s="6">
        <f>ROW()</f>
        <v>44</v>
      </c>
    </row>
    <row r="45" spans="2:45" ht="14" customHeight="1">
      <c r="I45" s="50"/>
      <c r="J45" s="50"/>
      <c r="K45" s="50"/>
      <c r="M45" s="50"/>
      <c r="N45" s="50"/>
      <c r="O45" s="50"/>
      <c r="P45" s="50"/>
      <c r="Q45" s="50"/>
      <c r="R45" s="50"/>
      <c r="S45" s="50"/>
      <c r="T45" s="50"/>
      <c r="U45" s="50"/>
      <c r="V45" s="50"/>
      <c r="X45" s="260" t="s">
        <v>360</v>
      </c>
      <c r="Y45" s="11">
        <f>Y43/I43-1</f>
        <v>-0.15383011651005396</v>
      </c>
      <c r="AP45" s="6">
        <f>ROW()</f>
        <v>45</v>
      </c>
    </row>
    <row r="46" spans="2:45" ht="14" customHeight="1">
      <c r="B46" s="32"/>
      <c r="I46" s="50"/>
      <c r="J46" s="50"/>
      <c r="K46" s="50"/>
      <c r="M46" s="50"/>
      <c r="N46" s="50"/>
      <c r="O46" s="50"/>
      <c r="P46" s="50"/>
      <c r="Q46" s="50"/>
      <c r="R46" s="50"/>
      <c r="S46" s="50"/>
      <c r="T46" s="50"/>
      <c r="U46" s="50"/>
      <c r="V46" s="50"/>
      <c r="X46" s="261" t="s">
        <v>361</v>
      </c>
      <c r="Y46" s="11">
        <f>Y43/Y41-1</f>
        <v>-0.10459831890168403</v>
      </c>
      <c r="AP46" s="6">
        <f>ROW()</f>
        <v>46</v>
      </c>
    </row>
    <row r="47" spans="2:45" ht="14" customHeight="1">
      <c r="B47" s="8" t="s">
        <v>359</v>
      </c>
      <c r="I47" s="50"/>
      <c r="J47" s="50"/>
      <c r="K47" s="50"/>
      <c r="M47" s="50"/>
      <c r="N47" s="50"/>
      <c r="O47" s="50"/>
      <c r="P47" s="50"/>
      <c r="Q47" s="50"/>
      <c r="R47" s="50"/>
      <c r="S47" s="50"/>
      <c r="T47" s="50"/>
      <c r="U47" s="50"/>
      <c r="V47" s="50"/>
      <c r="W47" s="50"/>
      <c r="X47" s="50"/>
      <c r="AP47" s="6">
        <f>ROW()</f>
        <v>47</v>
      </c>
    </row>
    <row r="48" spans="2:45" ht="14" customHeight="1">
      <c r="B48" s="8"/>
      <c r="H48" s="71"/>
      <c r="I48" s="28"/>
      <c r="J48" s="28"/>
      <c r="K48" s="28"/>
      <c r="L48" s="28"/>
      <c r="M48" s="28"/>
      <c r="N48" s="28"/>
      <c r="O48" s="28"/>
      <c r="P48" s="28"/>
      <c r="Q48" s="28"/>
      <c r="R48" s="28"/>
      <c r="S48" s="28"/>
      <c r="T48" s="28"/>
      <c r="U48" s="28"/>
      <c r="V48" s="28"/>
      <c r="W48" s="28"/>
      <c r="X48" s="28"/>
      <c r="Y48" s="28"/>
      <c r="Z48" s="28"/>
      <c r="AA48" s="28"/>
      <c r="AB48" s="28"/>
      <c r="AP48" s="6">
        <f>ROW()</f>
        <v>48</v>
      </c>
    </row>
    <row r="49" spans="2:42" ht="14" customHeight="1">
      <c r="B49" s="8"/>
      <c r="G49" s="816" t="s">
        <v>681</v>
      </c>
      <c r="H49" s="817"/>
      <c r="I49" s="243"/>
      <c r="J49" s="243"/>
      <c r="K49" s="243"/>
      <c r="M49" s="243"/>
      <c r="N49" s="243"/>
      <c r="O49" s="243"/>
      <c r="P49" s="243"/>
      <c r="Q49" s="243"/>
      <c r="R49" s="243"/>
      <c r="S49" s="243"/>
      <c r="T49" s="243"/>
      <c r="U49" s="243"/>
      <c r="V49" s="243"/>
      <c r="W49" s="243"/>
      <c r="X49" s="243"/>
      <c r="Y49" s="243"/>
      <c r="Z49" s="243"/>
      <c r="AA49" s="243"/>
      <c r="AB49" s="243"/>
      <c r="AP49" s="6">
        <f>ROW()</f>
        <v>49</v>
      </c>
    </row>
    <row r="50" spans="2:42" ht="14" customHeight="1">
      <c r="B50" s="8" t="s">
        <v>663</v>
      </c>
      <c r="G50" s="818"/>
      <c r="H50" s="819"/>
      <c r="I50" s="25">
        <f t="shared" ref="I50:AM50" si="2">SUM(I51:I56)</f>
        <v>21016.468289499317</v>
      </c>
      <c r="J50" s="25">
        <f t="shared" si="2"/>
        <v>21308.768334321547</v>
      </c>
      <c r="K50" s="25">
        <f t="shared" si="2"/>
        <v>20957.812013670442</v>
      </c>
      <c r="L50" s="25">
        <f t="shared" si="2"/>
        <v>20118.592840936548</v>
      </c>
      <c r="M50" s="25">
        <f t="shared" si="2"/>
        <v>19476.656921272483</v>
      </c>
      <c r="N50" s="25">
        <f t="shared" si="2"/>
        <v>19798.727094632573</v>
      </c>
      <c r="O50" s="25">
        <f t="shared" si="2"/>
        <v>19585.93374902815</v>
      </c>
      <c r="P50" s="25">
        <f t="shared" si="2"/>
        <v>18799.024825343098</v>
      </c>
      <c r="Q50" s="25">
        <f t="shared" si="2"/>
        <v>18759.216711484631</v>
      </c>
      <c r="R50" s="25">
        <f t="shared" si="2"/>
        <v>18892.781671410849</v>
      </c>
      <c r="S50" s="25">
        <f t="shared" si="2"/>
        <v>19027.4564080419</v>
      </c>
      <c r="T50" s="25">
        <f t="shared" si="2"/>
        <v>19163.277696704223</v>
      </c>
      <c r="U50" s="25">
        <f t="shared" si="2"/>
        <v>19300.283047102261</v>
      </c>
      <c r="V50" s="25">
        <f t="shared" si="2"/>
        <v>19438.510712908093</v>
      </c>
      <c r="W50" s="25">
        <f t="shared" si="2"/>
        <v>19577.999702318753</v>
      </c>
      <c r="X50" s="25">
        <f t="shared" si="2"/>
        <v>19718.789789584654</v>
      </c>
      <c r="Y50" s="25">
        <f t="shared" si="2"/>
        <v>19860.921527511782</v>
      </c>
      <c r="Z50" s="25">
        <f t="shared" si="2"/>
        <v>20004.436260939729</v>
      </c>
      <c r="AA50" s="25">
        <f t="shared" si="2"/>
        <v>20122.212338314115</v>
      </c>
      <c r="AB50" s="25">
        <f t="shared" si="2"/>
        <v>20240.206393611992</v>
      </c>
      <c r="AC50" s="25">
        <f t="shared" si="2"/>
        <v>20359.313255376463</v>
      </c>
      <c r="AD50" s="25">
        <f t="shared" si="2"/>
        <v>20479.570160376054</v>
      </c>
      <c r="AE50" s="25">
        <f t="shared" si="2"/>
        <v>20601.014928002976</v>
      </c>
      <c r="AF50" s="25">
        <f t="shared" si="2"/>
        <v>20723.685972523599</v>
      </c>
      <c r="AG50" s="25">
        <f t="shared" si="2"/>
        <v>20847.622316114997</v>
      </c>
      <c r="AH50" s="25">
        <f t="shared" si="2"/>
        <v>20972.863602679165</v>
      </c>
      <c r="AI50" s="25">
        <f t="shared" si="2"/>
        <v>21099.450112426683</v>
      </c>
      <c r="AJ50" s="25">
        <f t="shared" si="2"/>
        <v>21227.42277722228</v>
      </c>
      <c r="AK50" s="25">
        <f t="shared" si="2"/>
        <v>21371.892790629994</v>
      </c>
      <c r="AL50" s="25">
        <f t="shared" si="2"/>
        <v>21517.555696191743</v>
      </c>
      <c r="AM50" s="25">
        <f t="shared" si="2"/>
        <v>21679.180659584574</v>
      </c>
      <c r="AN50" s="25"/>
      <c r="AO50" s="25"/>
      <c r="AP50" s="6">
        <f>ROW()</f>
        <v>50</v>
      </c>
    </row>
    <row r="51" spans="2:42" ht="14" customHeight="1">
      <c r="B51" s="32" t="s">
        <v>4</v>
      </c>
      <c r="D51" s="512" t="s">
        <v>679</v>
      </c>
      <c r="E51" s="513">
        <v>11500</v>
      </c>
      <c r="F51" s="514" t="s">
        <v>680</v>
      </c>
      <c r="G51" s="820"/>
      <c r="H51" s="821"/>
      <c r="I51" s="34">
        <f>($E$51/1000)*Energy!G13/(Energy!$O$77*Parameters!$H$18)</f>
        <v>622.22090695600014</v>
      </c>
      <c r="J51" s="34">
        <f>($E$51/1000)*Energy!H13/(Energy!$O$77*Parameters!$H$18)</f>
        <v>326.6572203888029</v>
      </c>
      <c r="K51" s="34">
        <f>($E$51/1000)*Energy!I13/(Energy!$O$77*Parameters!$H$18)</f>
        <v>334.66280077114277</v>
      </c>
      <c r="L51" s="34">
        <f>($E$51/1000)*Energy!J13/(Energy!$O$77*Parameters!$H$18)</f>
        <v>235.41105319424432</v>
      </c>
      <c r="M51" s="34">
        <f>($E$51/1000)*Energy!K13/(Energy!$O$77*Parameters!$H$18)</f>
        <v>198.21730666648958</v>
      </c>
      <c r="N51" s="34">
        <f>($E$51/1000)*Energy!L13/(Energy!$O$77*Parameters!$H$18)</f>
        <v>188.66953499027218</v>
      </c>
      <c r="O51" s="34">
        <f>($E$51/1000)*Energy!M13/(Energy!$O$77*Parameters!$H$18)</f>
        <v>143.36624413176713</v>
      </c>
      <c r="P51" s="34">
        <f>($E$51/1000)*Energy!N13/(Energy!$O$77*Parameters!$H$18)</f>
        <v>116.57786240280477</v>
      </c>
      <c r="Q51" s="34">
        <f>$P51*(Electricity!Q44/Electricity!$P44)*(Electricity!Q41/Electricity!$P41)</f>
        <v>117.10044181743137</v>
      </c>
      <c r="R51" s="34">
        <f>$P51*(Electricity!R44/Electricity!$P44)*(Electricity!R41/Electricity!$P41)</f>
        <v>117.12750245892938</v>
      </c>
      <c r="S51" s="34">
        <f>$P51*(Electricity!S44/Electricity!$P44)*(Electricity!S41/Electricity!$P41)</f>
        <v>117.154569353848</v>
      </c>
      <c r="T51" s="34">
        <f>$P51*(Electricity!T44/Electricity!$P44)*(Electricity!T41/Electricity!$P41)</f>
        <v>117.18164250363236</v>
      </c>
      <c r="U51" s="34">
        <f>$P51*(Electricity!U44/Electricity!$P44)*(Electricity!U41/Electricity!$P41)</f>
        <v>117.20872190972787</v>
      </c>
      <c r="V51" s="34">
        <f>$P51*(Electricity!V44/Electricity!$P44)*(Electricity!V41/Electricity!$P41)</f>
        <v>117.2358075735803</v>
      </c>
      <c r="W51" s="34">
        <f>$P51*(Electricity!W44/Electricity!$P44)*(Electricity!W41/Electricity!$P41)</f>
        <v>117.26289949663574</v>
      </c>
      <c r="X51" s="34">
        <f>$P51*(Electricity!X44/Electricity!$P44)*(Electricity!X41/Electricity!$P41)</f>
        <v>117.28999768034065</v>
      </c>
      <c r="Y51" s="34">
        <f>$P51*(Electricity!Y44/Electricity!$P44)*(Electricity!Y41/Electricity!$P41)</f>
        <v>117.3171021261418</v>
      </c>
      <c r="Z51" s="34">
        <f>$P51*(Electricity!Z44/Electricity!$P44)*(Electricity!Z41/Electricity!$P41)</f>
        <v>117.34421283548625</v>
      </c>
      <c r="AA51" s="34">
        <f>$P51*(Electricity!AA44/Electricity!$P44)*(Electricity!AA41/Electricity!$P41)</f>
        <v>117.37132980982148</v>
      </c>
      <c r="AB51" s="34">
        <f>$P51*(Electricity!AB44/Electricity!$P44)*(Electricity!AB41/Electricity!$P41)</f>
        <v>116.54612668005112</v>
      </c>
      <c r="AC51" s="34">
        <f>$P51*(Electricity!AC44/Electricity!$P44)*(Electricity!AC41/Electricity!$P41)</f>
        <v>115.72672530959018</v>
      </c>
      <c r="AD51" s="34">
        <f>$P51*(Electricity!AD44/Electricity!$P44)*(Electricity!AD41/Electricity!$P41)</f>
        <v>114.91308490798373</v>
      </c>
      <c r="AE51" s="34">
        <f>$P51*(Electricity!AE44/Electricity!$P44)*(Electricity!AE41/Electricity!$P41)</f>
        <v>114.1051649715624</v>
      </c>
      <c r="AF51" s="34">
        <f>$P51*(Electricity!AF44/Electricity!$P44)*(Electricity!AF41/Electricity!$P41)</f>
        <v>113.30292528142627</v>
      </c>
      <c r="AG51" s="34">
        <f>$P51*(Electricity!AG44/Electricity!$P44)*(Electricity!AG41/Electricity!$P41)</f>
        <v>112.50632590144257</v>
      </c>
      <c r="AH51" s="34">
        <f>$P51*(Electricity!AH44/Electricity!$P44)*(Electricity!AH41/Electricity!$P41)</f>
        <v>111.71532717625756</v>
      </c>
      <c r="AI51" s="34">
        <f>$P51*(Electricity!AI44/Electricity!$P44)*(Electricity!AI41/Electricity!$P41)</f>
        <v>110.92988972932275</v>
      </c>
      <c r="AJ51" s="34">
        <f>$P51*(Electricity!AJ44/Electricity!$P44)*(Electricity!AJ41/Electricity!$P41)</f>
        <v>110.14997446093446</v>
      </c>
      <c r="AK51" s="34">
        <f>$P51*(Electricity!AK44/Electricity!$P44)*(Electricity!AK41/Electricity!$P41)</f>
        <v>109.37554254628743</v>
      </c>
      <c r="AL51" s="34">
        <f>$P51*(Electricity!AL44/Electricity!$P44)*(Electricity!AL41/Electricity!$P41)</f>
        <v>108.10722037675954</v>
      </c>
      <c r="AM51" s="34">
        <f>$P51*(Electricity!AM44/Electricity!$P44)*(Electricity!AM41/Electricity!$P41)</f>
        <v>106.85360571028276</v>
      </c>
      <c r="AN51" s="34"/>
      <c r="AO51" s="34"/>
      <c r="AP51" s="6">
        <f>ROW()</f>
        <v>51</v>
      </c>
    </row>
    <row r="52" spans="2:42" ht="14" customHeight="1">
      <c r="B52" s="32" t="s">
        <v>222</v>
      </c>
      <c r="H52" s="71"/>
      <c r="I52" s="34">
        <f>Energy!G22</f>
        <v>9159.2639999999992</v>
      </c>
      <c r="J52" s="34">
        <f>Energy!H22</f>
        <v>9232.6610000000001</v>
      </c>
      <c r="K52" s="34">
        <f>Energy!I22</f>
        <v>9290.3490000000002</v>
      </c>
      <c r="L52" s="34">
        <f>Energy!J22</f>
        <v>8989.2279999999992</v>
      </c>
      <c r="M52" s="34">
        <f>Energy!K22</f>
        <v>8986.1110000000008</v>
      </c>
      <c r="N52" s="34">
        <f>Energy!L22</f>
        <v>9034.3259999999991</v>
      </c>
      <c r="O52" s="34">
        <f>Energy!M22</f>
        <v>8736.1880000000001</v>
      </c>
      <c r="P52" s="34">
        <f>Energy!N22</f>
        <v>8703.0380000000005</v>
      </c>
      <c r="Q52" s="34">
        <f>$P52*('Personal Ground Travel'!Q43/'Personal Ground Travel'!$P43)*('Personal Ground Travel'!Q60/'Personal Ground Travel'!$P60)</f>
        <v>8450.1711570337247</v>
      </c>
      <c r="R52" s="34">
        <f>$P52*('Personal Ground Travel'!R43/'Personal Ground Travel'!$P43)*('Personal Ground Travel'!R60/'Personal Ground Travel'!$P60)</f>
        <v>8511.6457163304458</v>
      </c>
      <c r="S52" s="34">
        <f>$P52*('Personal Ground Travel'!S43/'Personal Ground Travel'!$P43)*('Personal Ground Travel'!S60/'Personal Ground Travel'!$P60)</f>
        <v>8573.5669270064736</v>
      </c>
      <c r="T52" s="34">
        <f>$P52*('Personal Ground Travel'!T43/'Personal Ground Travel'!$P43)*('Personal Ground Travel'!T60/'Personal Ground Travel'!$P60)</f>
        <v>8635.9380307526189</v>
      </c>
      <c r="U52" s="34">
        <f>$P52*('Personal Ground Travel'!U43/'Personal Ground Travel'!$P43)*('Personal Ground Travel'!U60/'Personal Ground Travel'!$P60)</f>
        <v>8698.7622927656248</v>
      </c>
      <c r="V52" s="34">
        <f>$P52*('Personal Ground Travel'!V43/'Personal Ground Travel'!$P43)*('Personal Ground Travel'!V60/'Personal Ground Travel'!$P60)</f>
        <v>8762.0430019184914</v>
      </c>
      <c r="W52" s="34">
        <f>$P52*('Personal Ground Travel'!W43/'Personal Ground Travel'!$P43)*('Personal Ground Travel'!W60/'Personal Ground Travel'!$P60)</f>
        <v>8825.7834709320305</v>
      </c>
      <c r="X52" s="34">
        <f>$P52*('Personal Ground Travel'!X43/'Personal Ground Travel'!$P43)*('Personal Ground Travel'!X60/'Personal Ground Travel'!$P60)</f>
        <v>8889.9870365476327</v>
      </c>
      <c r="Y52" s="34">
        <f>$P52*('Personal Ground Travel'!Y43/'Personal Ground Travel'!$P43)*('Personal Ground Travel'!Y60/'Personal Ground Travel'!$P60)</f>
        <v>8954.6570597013215</v>
      </c>
      <c r="Z52" s="34">
        <f>$P52*('Personal Ground Travel'!Z43/'Personal Ground Travel'!$P43)*('Personal Ground Travel'!Z60/'Personal Ground Travel'!$P60)</f>
        <v>9019.79692569906</v>
      </c>
      <c r="AA52" s="34">
        <f>$P52*('Personal Ground Travel'!AA43/'Personal Ground Travel'!$P43)*('Personal Ground Travel'!AA60/'Personal Ground Travel'!$P60)</f>
        <v>9074.0616222861026</v>
      </c>
      <c r="AB52" s="34">
        <f>$P52*('Personal Ground Travel'!AB43/'Personal Ground Travel'!$P43)*('Personal Ground Travel'!AB60/'Personal Ground Travel'!$P60)</f>
        <v>9128.6521811964631</v>
      </c>
      <c r="AC52" s="34">
        <f>$P52*('Personal Ground Travel'!AC43/'Personal Ground Travel'!$P43)*('Personal Ground Travel'!AC60/'Personal Ground Travel'!$P60)</f>
        <v>9183.5705563065094</v>
      </c>
      <c r="AD52" s="34">
        <f>$P52*('Personal Ground Travel'!AD43/'Personal Ground Travel'!$P43)*('Personal Ground Travel'!AD60/'Personal Ground Travel'!$P60)</f>
        <v>9238.8187131937975</v>
      </c>
      <c r="AE52" s="34">
        <f>$P52*('Personal Ground Travel'!AE43/'Personal Ground Travel'!$P43)*('Personal Ground Travel'!AE60/'Personal Ground Travel'!$P60)</f>
        <v>9294.3986292070604</v>
      </c>
      <c r="AF52" s="34">
        <f>$P52*('Personal Ground Travel'!AF43/'Personal Ground Travel'!$P43)*('Personal Ground Travel'!AF60/'Personal Ground Travel'!$P60)</f>
        <v>9350.3122935366409</v>
      </c>
      <c r="AG52" s="34">
        <f>$P52*('Personal Ground Travel'!AG43/'Personal Ground Travel'!$P43)*('Personal Ground Travel'!AG60/'Personal Ground Travel'!$P60)</f>
        <v>9406.5617072853292</v>
      </c>
      <c r="AH52" s="34">
        <f>$P52*('Personal Ground Travel'!AH43/'Personal Ground Travel'!$P43)*('Personal Ground Travel'!AH60/'Personal Ground Travel'!$P60)</f>
        <v>9463.1488835396449</v>
      </c>
      <c r="AI52" s="34">
        <f>$P52*('Personal Ground Travel'!AI43/'Personal Ground Travel'!$P43)*('Personal Ground Travel'!AI60/'Personal Ground Travel'!$P60)</f>
        <v>9520.0758474415161</v>
      </c>
      <c r="AJ52" s="34">
        <f>$P52*('Personal Ground Travel'!AJ43/'Personal Ground Travel'!$P43)*('Personal Ground Travel'!AJ60/'Personal Ground Travel'!$P60)</f>
        <v>9577.3446362604045</v>
      </c>
      <c r="AK52" s="34">
        <f>$P52*('Personal Ground Travel'!AK43/'Personal Ground Travel'!$P43)*('Personal Ground Travel'!AK60/'Personal Ground Travel'!$P60)</f>
        <v>9641.2052534883933</v>
      </c>
      <c r="AL52" s="34">
        <f>$P52*('Personal Ground Travel'!AL43/'Personal Ground Travel'!$P43)*('Personal Ground Travel'!AL60/'Personal Ground Travel'!$P60)</f>
        <v>9705.4910513153063</v>
      </c>
      <c r="AM52" s="34">
        <f>$P52*('Personal Ground Travel'!AM43/'Personal Ground Travel'!$P43)*('Personal Ground Travel'!AM60/'Personal Ground Travel'!$P60)</f>
        <v>9776.0844362922417</v>
      </c>
      <c r="AN52" s="34"/>
      <c r="AO52" s="34"/>
      <c r="AP52" s="6">
        <f>ROW()</f>
        <v>52</v>
      </c>
    </row>
    <row r="53" spans="2:42" ht="14" customHeight="1">
      <c r="B53" s="32" t="s">
        <v>164</v>
      </c>
      <c r="I53" s="34">
        <f>Freight!$I$32*Energy!G25</f>
        <v>3294.4080000000004</v>
      </c>
      <c r="J53" s="34">
        <f>Freight!$I$32*Energy!H25</f>
        <v>3335.2960000000003</v>
      </c>
      <c r="K53" s="34">
        <f>Freight!$I$32*Energy!I25</f>
        <v>3356.7280000000001</v>
      </c>
      <c r="L53" s="34">
        <f>Freight!$I$32*Energy!J25</f>
        <v>3156.328</v>
      </c>
      <c r="M53" s="34">
        <f>Freight!$I$32*Energy!K25</f>
        <v>2904.864</v>
      </c>
      <c r="N53" s="34">
        <f>Freight!$I$32*Energy!L25</f>
        <v>3040.248</v>
      </c>
      <c r="O53" s="34">
        <f>Freight!$I$32*Energy!M25</f>
        <v>3119.08</v>
      </c>
      <c r="P53" s="34">
        <f>Freight!$I$32*Energy!N25</f>
        <v>2994.1743999999999</v>
      </c>
      <c r="Q53" s="34">
        <f>$P53*(Freight!Q55/Freight!$P55)</f>
        <v>3028.803710286445</v>
      </c>
      <c r="R53" s="34">
        <f>$P53*(Freight!R55/Freight!$P55)</f>
        <v>3040.0997262706351</v>
      </c>
      <c r="S53" s="34">
        <f>$P53*(Freight!S55/Freight!$P55)</f>
        <v>3051.2756125461533</v>
      </c>
      <c r="T53" s="34">
        <f>$P53*(Freight!T55/Freight!$P55)</f>
        <v>3062.333445442081</v>
      </c>
      <c r="U53" s="34">
        <f>$P53*(Freight!U55/Freight!$P55)</f>
        <v>3073.2753154411789</v>
      </c>
      <c r="V53" s="34">
        <f>$P53*(Freight!V55/Freight!$P55)</f>
        <v>3084.1033241694331</v>
      </c>
      <c r="W53" s="34">
        <f>$P53*(Freight!W55/Freight!$P55)</f>
        <v>3094.819581517173</v>
      </c>
      <c r="X53" s="34">
        <f>$P53*(Freight!X55/Freight!$P55)</f>
        <v>3105.426202891193</v>
      </c>
      <c r="Y53" s="34">
        <f>$P53*(Freight!Y55/Freight!$P55)</f>
        <v>3115.9253065969233</v>
      </c>
      <c r="Z53" s="34">
        <f>$P53*(Freight!Z55/Freight!$P55)</f>
        <v>3126.3190113493511</v>
      </c>
      <c r="AA53" s="34">
        <f>$P53*(Freight!AA55/Freight!$P55)</f>
        <v>3132.691551540564</v>
      </c>
      <c r="AB53" s="34">
        <f>$P53*(Freight!AB55/Freight!$P55)</f>
        <v>3138.9423773432131</v>
      </c>
      <c r="AC53" s="34">
        <f>$P53*(Freight!AC55/Freight!$P55)</f>
        <v>3145.0740073183356</v>
      </c>
      <c r="AD53" s="34">
        <f>$P53*(Freight!AD55/Freight!$P55)</f>
        <v>3151.0889402704593</v>
      </c>
      <c r="AE53" s="34">
        <f>$P53*(Freight!AE55/Freight!$P55)</f>
        <v>3156.989653470202</v>
      </c>
      <c r="AF53" s="34">
        <f>$P53*(Freight!AF55/Freight!$P55)</f>
        <v>3162.7786010047375</v>
      </c>
      <c r="AG53" s="34">
        <f>$P53*(Freight!AG55/Freight!$P55)</f>
        <v>3168.4582122521124</v>
      </c>
      <c r="AH53" s="34">
        <f>$P53*(Freight!AH55/Freight!$P55)</f>
        <v>3174.0308904753006</v>
      </c>
      <c r="AI53" s="34">
        <f>$P53*(Freight!AI55/Freight!$P55)</f>
        <v>3179.4990115317946</v>
      </c>
      <c r="AJ53" s="34">
        <f>$P53*(Freight!AJ55/Freight!$P55)</f>
        <v>3184.8649226944954</v>
      </c>
      <c r="AK53" s="34">
        <f>$P53*(Freight!AK55/Freight!$P55)</f>
        <v>3192.1996369385511</v>
      </c>
      <c r="AL53" s="34">
        <f>$P53*(Freight!AL55/Freight!$P55)</f>
        <v>3199.4447926434091</v>
      </c>
      <c r="AM53" s="34">
        <f>$P53*(Freight!AM55/Freight!$P55)</f>
        <v>3208.5321577615314</v>
      </c>
      <c r="AN53" s="34"/>
      <c r="AO53" s="34"/>
      <c r="AP53" s="6">
        <f>ROW()</f>
        <v>53</v>
      </c>
    </row>
    <row r="54" spans="2:42" ht="14" customHeight="1">
      <c r="B54" s="32" t="s">
        <v>18</v>
      </c>
      <c r="I54" s="34">
        <f>Energy!G23</f>
        <v>1698.1849999999999</v>
      </c>
      <c r="J54" s="34">
        <f>Energy!H23</f>
        <v>1651.0500000000002</v>
      </c>
      <c r="K54" s="34">
        <f>Energy!I23</f>
        <v>1639.5309999999999</v>
      </c>
      <c r="L54" s="34">
        <f>Energy!J23</f>
        <v>1553.8630000000001</v>
      </c>
      <c r="M54" s="34">
        <f>Energy!K23</f>
        <v>1407.6000000000001</v>
      </c>
      <c r="N54" s="34">
        <f>Energy!L23</f>
        <v>1445.4229999999998</v>
      </c>
      <c r="O54" s="34">
        <f>Energy!M23</f>
        <v>1440.02</v>
      </c>
      <c r="P54" s="34">
        <f>Energy!N23</f>
        <v>1413.06</v>
      </c>
      <c r="Q54" s="34">
        <f>$P54*(Aviation!Q43/Aviation!$P43)</f>
        <v>1526.364089152941</v>
      </c>
      <c r="R54" s="34">
        <f>$P54*(Aviation!R43/Aviation!$P43)</f>
        <v>1566.1162126802894</v>
      </c>
      <c r="S54" s="34">
        <f>$P54*(Aviation!S43/Aviation!$P43)</f>
        <v>1606.903627417752</v>
      </c>
      <c r="T54" s="34">
        <f>$P54*(Aviation!T43/Aviation!$P43)</f>
        <v>1648.753296148562</v>
      </c>
      <c r="U54" s="34">
        <f>$P54*(Aviation!U43/Aviation!$P43)</f>
        <v>1691.6928838657975</v>
      </c>
      <c r="V54" s="34">
        <f>$P54*(Aviation!V43/Aviation!$P43)</f>
        <v>1735.7507760605031</v>
      </c>
      <c r="W54" s="34">
        <f>$P54*(Aviation!W43/Aviation!$P43)</f>
        <v>1780.9560974861006</v>
      </c>
      <c r="X54" s="34">
        <f>$P54*(Aviation!X43/Aviation!$P43)</f>
        <v>1827.3387314114971</v>
      </c>
      <c r="Y54" s="34">
        <f>$P54*(Aviation!Y43/Aviation!$P43)</f>
        <v>1874.9293393756104</v>
      </c>
      <c r="Z54" s="34">
        <f>$P54*(Aviation!Z43/Aviation!$P43)</f>
        <v>1923.7593814563775</v>
      </c>
      <c r="AA54" s="34">
        <f>$P54*(Aviation!AA43/Aviation!$P43)</f>
        <v>1970.1640205577244</v>
      </c>
      <c r="AB54" s="34">
        <f>$P54*(Aviation!AB43/Aviation!$P43)</f>
        <v>2017.6880254960279</v>
      </c>
      <c r="AC54" s="34">
        <f>$P54*(Aviation!AC43/Aviation!$P43)</f>
        <v>2066.3583974483504</v>
      </c>
      <c r="AD54" s="34">
        <f>$P54*(Aviation!AD43/Aviation!$P43)</f>
        <v>2116.2027889101541</v>
      </c>
      <c r="AE54" s="34">
        <f>$P54*(Aviation!AE43/Aviation!$P43)</f>
        <v>2167.2495194063017</v>
      </c>
      <c r="AF54" s="34">
        <f>$P54*(Aviation!AF43/Aviation!$P43)</f>
        <v>2219.5275915810457</v>
      </c>
      <c r="AG54" s="34">
        <f>$P54*(Aviation!AG43/Aviation!$P43)</f>
        <v>2273.0667076761297</v>
      </c>
      <c r="AH54" s="34">
        <f>$P54*(Aviation!AH43/Aviation!$P43)</f>
        <v>2327.897286406378</v>
      </c>
      <c r="AI54" s="34">
        <f>$P54*(Aviation!AI43/Aviation!$P43)</f>
        <v>2384.050480242352</v>
      </c>
      <c r="AJ54" s="34">
        <f>$P54*(Aviation!AJ43/Aviation!$P43)</f>
        <v>2441.5581931098973</v>
      </c>
      <c r="AK54" s="34">
        <f>$P54*(Aviation!AK43/Aviation!$P43)</f>
        <v>2502.8856855962422</v>
      </c>
      <c r="AL54" s="34">
        <f>$P54*(Aviation!AL43/Aviation!$P43)</f>
        <v>2565.7536129349191</v>
      </c>
      <c r="AM54" s="34">
        <f>$P54*(Aviation!AM43/Aviation!$P43)</f>
        <v>2632.575254826882</v>
      </c>
      <c r="AN54" s="34"/>
      <c r="AO54" s="34"/>
      <c r="AP54" s="6">
        <f>ROW()</f>
        <v>54</v>
      </c>
    </row>
    <row r="55" spans="2:42" ht="14" customHeight="1">
      <c r="B55" s="32" t="s">
        <v>740</v>
      </c>
      <c r="I55" s="34">
        <f>Other_Petrol!I54*1000/(Parameters!$H$18*Parameters!$H$17)</f>
        <v>6242.3903825433181</v>
      </c>
      <c r="J55" s="34">
        <f>Other_Petrol!J54*1000/(Parameters!$H$18*Parameters!$H$17)</f>
        <v>6763.1041139327444</v>
      </c>
      <c r="K55" s="34">
        <f>Other_Petrol!K54*1000/(Parameters!$H$18*Parameters!$H$17)</f>
        <v>6336.5412128993003</v>
      </c>
      <c r="L55" s="34">
        <f>Other_Petrol!L54*1000/(Parameters!$H$18*Parameters!$H$17)</f>
        <v>6183.7627877423047</v>
      </c>
      <c r="M55" s="34">
        <f>Other_Petrol!M54*1000/(Parameters!$H$18*Parameters!$H$17)</f>
        <v>5979.8646146059937</v>
      </c>
      <c r="N55" s="34">
        <f>Other_Petrol!N54*1000/(Parameters!$H$18*Parameters!$H$17)</f>
        <v>6090.0605596423029</v>
      </c>
      <c r="O55" s="34">
        <f>Other_Petrol!O54*1000/(Parameters!$H$18*Parameters!$H$17)</f>
        <v>6147.2795048963835</v>
      </c>
      <c r="P55" s="34">
        <f>Other_Petrol!P54*1000/(Parameters!$H$18*Parameters!$H$17)</f>
        <v>5572.174562940294</v>
      </c>
      <c r="Q55" s="34">
        <f>Other_Petrol!Q54*1000/(Parameters!$H$18*Parameters!$H$17)</f>
        <v>5636.7773131940867</v>
      </c>
      <c r="R55" s="34">
        <f>Other_Petrol!R54*1000/(Parameters!$H$18*Parameters!$H$17)</f>
        <v>5657.7925136705471</v>
      </c>
      <c r="S55" s="34">
        <f>Other_Petrol!S54*1000/(Parameters!$H$18*Parameters!$H$17)</f>
        <v>5678.5556717176742</v>
      </c>
      <c r="T55" s="34">
        <f>Other_Petrol!T54*1000/(Parameters!$H$18*Parameters!$H$17)</f>
        <v>5699.0712818573265</v>
      </c>
      <c r="U55" s="34">
        <f>Other_Petrol!U54*1000/(Parameters!$H$18*Parameters!$H$17)</f>
        <v>5719.3438331199313</v>
      </c>
      <c r="V55" s="34">
        <f>Other_Petrol!V54*1000/(Parameters!$H$18*Parameters!$H$17)</f>
        <v>5739.3778031860875</v>
      </c>
      <c r="W55" s="34">
        <f>Other_Petrol!W54*1000/(Parameters!$H$18*Parameters!$H$17)</f>
        <v>5759.1776528868158</v>
      </c>
      <c r="X55" s="34">
        <f>Other_Petrol!X54*1000/(Parameters!$H$18*Parameters!$H$17)</f>
        <v>5778.7478210539921</v>
      </c>
      <c r="Y55" s="34">
        <f>Other_Petrol!Y54*1000/(Parameters!$H$18*Parameters!$H$17)</f>
        <v>5798.0927197117853</v>
      </c>
      <c r="Z55" s="34">
        <f>Other_Petrol!Z54*1000/(Parameters!$H$18*Parameters!$H$17)</f>
        <v>5817.2167295994541</v>
      </c>
      <c r="AA55" s="34">
        <f>Other_Petrol!AA54*1000/(Parameters!$H$18*Parameters!$H$17)</f>
        <v>5827.9238141199039</v>
      </c>
      <c r="AB55" s="34">
        <f>Other_Petrol!AB54*1000/(Parameters!$H$18*Parameters!$H$17)</f>
        <v>5838.3776828962364</v>
      </c>
      <c r="AC55" s="34">
        <f>Other_Petrol!AC54*1000/(Parameters!$H$18*Parameters!$H$17)</f>
        <v>5848.5835689936775</v>
      </c>
      <c r="AD55" s="34">
        <f>Other_Petrol!AD54*1000/(Parameters!$H$18*Parameters!$H$17)</f>
        <v>5858.5466330936588</v>
      </c>
      <c r="AE55" s="34">
        <f>Other_Petrol!AE54*1000/(Parameters!$H$18*Parameters!$H$17)</f>
        <v>5868.2719609478499</v>
      </c>
      <c r="AF55" s="34">
        <f>Other_Petrol!AF54*1000/(Parameters!$H$18*Parameters!$H$17)</f>
        <v>5877.7645611197495</v>
      </c>
      <c r="AG55" s="34">
        <f>Other_Petrol!AG54*1000/(Parameters!$H$18*Parameters!$H$17)</f>
        <v>5887.0293629999869</v>
      </c>
      <c r="AH55" s="34">
        <f>Other_Petrol!AH54*1000/(Parameters!$H$18*Parameters!$H$17)</f>
        <v>5896.0712150815843</v>
      </c>
      <c r="AI55" s="34">
        <f>Other_Petrol!AI54*1000/(Parameters!$H$18*Parameters!$H$17)</f>
        <v>5904.8948834816993</v>
      </c>
      <c r="AJ55" s="34">
        <f>Other_Petrol!AJ54*1000/(Parameters!$H$18*Parameters!$H$17)</f>
        <v>5913.5050506965499</v>
      </c>
      <c r="AK55" s="34">
        <f>Other_Petrol!AK54*1000/(Parameters!$H$18*Parameters!$H$17)</f>
        <v>5926.2266720605212</v>
      </c>
      <c r="AL55" s="34">
        <f>Other_Petrol!AL54*1000/(Parameters!$H$18*Parameters!$H$17)</f>
        <v>5938.7590189213488</v>
      </c>
      <c r="AM55" s="34">
        <f>Other_Petrol!AM54*1000/(Parameters!$H$18*Parameters!$H$17)</f>
        <v>5955.1352049936368</v>
      </c>
      <c r="AN55" s="34"/>
      <c r="AO55" s="34"/>
      <c r="AP55" s="6">
        <f>ROW()</f>
        <v>55</v>
      </c>
    </row>
    <row r="56" spans="2:42" ht="14" customHeight="1">
      <c r="B56" s="32" t="s">
        <v>739</v>
      </c>
      <c r="I56" s="34">
        <v>0</v>
      </c>
      <c r="J56" s="34">
        <v>0</v>
      </c>
      <c r="K56" s="34">
        <v>0</v>
      </c>
      <c r="L56" s="34">
        <v>0</v>
      </c>
      <c r="M56" s="34">
        <v>0</v>
      </c>
      <c r="N56" s="34">
        <v>0</v>
      </c>
      <c r="O56" s="34">
        <v>0</v>
      </c>
      <c r="P56" s="34">
        <v>0</v>
      </c>
      <c r="Q56" s="34">
        <v>0</v>
      </c>
      <c r="R56" s="34">
        <v>0</v>
      </c>
      <c r="S56" s="34">
        <v>0</v>
      </c>
      <c r="T56" s="34">
        <v>0</v>
      </c>
      <c r="U56" s="34">
        <v>0</v>
      </c>
      <c r="V56" s="34">
        <v>0</v>
      </c>
      <c r="W56" s="34">
        <v>0</v>
      </c>
      <c r="X56" s="34">
        <v>0</v>
      </c>
      <c r="Y56" s="34">
        <v>0</v>
      </c>
      <c r="Z56" s="34">
        <v>0</v>
      </c>
      <c r="AA56" s="34">
        <v>0</v>
      </c>
      <c r="AB56" s="34">
        <v>0</v>
      </c>
      <c r="AC56" s="34">
        <v>0</v>
      </c>
      <c r="AD56" s="34">
        <v>0</v>
      </c>
      <c r="AE56" s="34">
        <v>0</v>
      </c>
      <c r="AF56" s="34">
        <v>0</v>
      </c>
      <c r="AG56" s="34">
        <v>0</v>
      </c>
      <c r="AH56" s="34">
        <v>0</v>
      </c>
      <c r="AI56" s="34">
        <v>0</v>
      </c>
      <c r="AJ56" s="34">
        <v>0</v>
      </c>
      <c r="AK56" s="34">
        <v>0</v>
      </c>
      <c r="AL56" s="34">
        <v>0</v>
      </c>
      <c r="AM56" s="34">
        <v>0</v>
      </c>
      <c r="AN56" s="34"/>
      <c r="AO56" s="34"/>
      <c r="AP56" s="6">
        <f>ROW()</f>
        <v>56</v>
      </c>
    </row>
    <row r="57" spans="2:42" ht="14" customHeight="1">
      <c r="B57" s="8"/>
      <c r="I57" s="50"/>
      <c r="J57" s="50"/>
      <c r="K57" s="50"/>
      <c r="L57" s="50"/>
      <c r="M57" s="50"/>
      <c r="N57" s="50"/>
      <c r="O57" s="50"/>
      <c r="P57" s="50"/>
      <c r="Q57" s="50"/>
      <c r="R57" s="50"/>
      <c r="S57" s="50"/>
      <c r="T57" s="50"/>
      <c r="U57" s="50"/>
      <c r="V57" s="50"/>
      <c r="W57" s="50"/>
      <c r="X57" s="50"/>
      <c r="AP57" s="6">
        <f>ROW()</f>
        <v>57</v>
      </c>
    </row>
    <row r="58" spans="2:42" ht="14" customHeight="1">
      <c r="B58" s="8" t="s">
        <v>358</v>
      </c>
      <c r="I58" s="258">
        <f t="shared" ref="I58:AM58" si="3">I39</f>
        <v>2005</v>
      </c>
      <c r="J58" s="258">
        <f t="shared" si="3"/>
        <v>2006</v>
      </c>
      <c r="K58" s="258">
        <f t="shared" si="3"/>
        <v>2007</v>
      </c>
      <c r="L58" s="258">
        <f t="shared" si="3"/>
        <v>2008</v>
      </c>
      <c r="M58" s="258">
        <f t="shared" si="3"/>
        <v>2009</v>
      </c>
      <c r="N58" s="258">
        <f t="shared" si="3"/>
        <v>2010</v>
      </c>
      <c r="O58" s="258">
        <f t="shared" si="3"/>
        <v>2011</v>
      </c>
      <c r="P58" s="258">
        <f t="shared" si="3"/>
        <v>2012</v>
      </c>
      <c r="Q58" s="258">
        <f t="shared" si="3"/>
        <v>2015</v>
      </c>
      <c r="R58" s="258">
        <f t="shared" si="3"/>
        <v>2016</v>
      </c>
      <c r="S58" s="258">
        <f t="shared" si="3"/>
        <v>2017</v>
      </c>
      <c r="T58" s="258">
        <f t="shared" si="3"/>
        <v>2018</v>
      </c>
      <c r="U58" s="258">
        <f t="shared" si="3"/>
        <v>2019</v>
      </c>
      <c r="V58" s="258">
        <f t="shared" si="3"/>
        <v>2020</v>
      </c>
      <c r="W58" s="258">
        <f t="shared" si="3"/>
        <v>2021</v>
      </c>
      <c r="X58" s="258">
        <f t="shared" si="3"/>
        <v>2022</v>
      </c>
      <c r="Y58" s="258">
        <f t="shared" si="3"/>
        <v>2023</v>
      </c>
      <c r="Z58" s="258">
        <f t="shared" si="3"/>
        <v>2024</v>
      </c>
      <c r="AA58" s="258">
        <f t="shared" si="3"/>
        <v>2025</v>
      </c>
      <c r="AB58" s="258">
        <f t="shared" si="3"/>
        <v>2026</v>
      </c>
      <c r="AC58" s="258">
        <f t="shared" si="3"/>
        <v>2027</v>
      </c>
      <c r="AD58" s="258">
        <f t="shared" si="3"/>
        <v>2028</v>
      </c>
      <c r="AE58" s="258">
        <f t="shared" si="3"/>
        <v>2029</v>
      </c>
      <c r="AF58" s="258">
        <f t="shared" si="3"/>
        <v>2030</v>
      </c>
      <c r="AG58" s="258">
        <f t="shared" si="3"/>
        <v>2031</v>
      </c>
      <c r="AH58" s="258">
        <f t="shared" si="3"/>
        <v>2032</v>
      </c>
      <c r="AI58" s="258">
        <f t="shared" si="3"/>
        <v>2033</v>
      </c>
      <c r="AJ58" s="258">
        <f t="shared" si="3"/>
        <v>2034</v>
      </c>
      <c r="AK58" s="258">
        <f t="shared" si="3"/>
        <v>2035</v>
      </c>
      <c r="AL58" s="258">
        <f t="shared" si="3"/>
        <v>2036</v>
      </c>
      <c r="AM58" s="258">
        <f t="shared" si="3"/>
        <v>2037</v>
      </c>
      <c r="AP58" s="6">
        <f>ROW()</f>
        <v>58</v>
      </c>
    </row>
    <row r="59" spans="2:42" ht="14" customHeight="1">
      <c r="M59" s="50"/>
      <c r="N59" s="50"/>
      <c r="O59" s="50"/>
      <c r="P59" s="50"/>
      <c r="Q59" s="50"/>
      <c r="R59" s="50"/>
      <c r="S59" s="50"/>
      <c r="T59" s="50"/>
      <c r="U59" s="50"/>
      <c r="V59" s="50"/>
      <c r="W59" s="50"/>
      <c r="X59" s="50"/>
      <c r="Y59" s="50"/>
      <c r="Z59" s="50"/>
      <c r="AP59" s="6">
        <f>ROW()</f>
        <v>59</v>
      </c>
    </row>
    <row r="60" spans="2:42" ht="14" customHeight="1">
      <c r="AP60" s="6">
        <f>ROW()</f>
        <v>60</v>
      </c>
    </row>
    <row r="61" spans="2:42" ht="14" customHeight="1">
      <c r="B61" s="8" t="s">
        <v>664</v>
      </c>
      <c r="I61" s="25">
        <f t="shared" ref="I61:AM61" si="4">SUM(I62:I67)</f>
        <v>21016.468289499317</v>
      </c>
      <c r="J61" s="25">
        <f t="shared" si="4"/>
        <v>21308.768334321547</v>
      </c>
      <c r="K61" s="25">
        <f t="shared" si="4"/>
        <v>20957.812013670442</v>
      </c>
      <c r="L61" s="25">
        <f t="shared" si="4"/>
        <v>20118.592840936548</v>
      </c>
      <c r="M61" s="25">
        <f t="shared" si="4"/>
        <v>19476.656921272483</v>
      </c>
      <c r="N61" s="25">
        <f t="shared" si="4"/>
        <v>19798.727094632573</v>
      </c>
      <c r="O61" s="25">
        <f t="shared" si="4"/>
        <v>19585.93374902815</v>
      </c>
      <c r="P61" s="25">
        <f t="shared" si="4"/>
        <v>18799.024825343098</v>
      </c>
      <c r="Q61" s="25">
        <f t="shared" si="4"/>
        <v>16786.576606613067</v>
      </c>
      <c r="R61" s="25">
        <f t="shared" si="4"/>
        <v>16911.683680340677</v>
      </c>
      <c r="S61" s="25">
        <f t="shared" si="4"/>
        <v>17036.645914260334</v>
      </c>
      <c r="T61" s="25">
        <f t="shared" si="4"/>
        <v>17161.464853843543</v>
      </c>
      <c r="U61" s="25">
        <f t="shared" si="4"/>
        <v>17286.142604547123</v>
      </c>
      <c r="V61" s="25">
        <f t="shared" si="4"/>
        <v>17410.681815993783</v>
      </c>
      <c r="W61" s="25">
        <f t="shared" si="4"/>
        <v>17535.085665505478</v>
      </c>
      <c r="X61" s="25">
        <f t="shared" si="4"/>
        <v>17659.357841079487</v>
      </c>
      <c r="Y61" s="25">
        <f t="shared" si="4"/>
        <v>17783.502523895782</v>
      </c>
      <c r="Z61" s="25">
        <f t="shared" si="4"/>
        <v>17907.524370441475</v>
      </c>
      <c r="AA61" s="25">
        <f t="shared" si="4"/>
        <v>18007.348515398131</v>
      </c>
      <c r="AB61" s="25">
        <f t="shared" si="4"/>
        <v>18106.281041054488</v>
      </c>
      <c r="AC61" s="25">
        <f t="shared" si="4"/>
        <v>18204.811432208291</v>
      </c>
      <c r="AD61" s="25">
        <f t="shared" si="4"/>
        <v>18302.947448335177</v>
      </c>
      <c r="AE61" s="25">
        <f t="shared" si="4"/>
        <v>18400.697188950297</v>
      </c>
      <c r="AF61" s="25">
        <f t="shared" si="4"/>
        <v>18498.06907253437</v>
      </c>
      <c r="AG61" s="25">
        <f t="shared" si="4"/>
        <v>18595.071815767649</v>
      </c>
      <c r="AH61" s="25">
        <f t="shared" si="4"/>
        <v>18691.714413123944</v>
      </c>
      <c r="AI61" s="25">
        <f t="shared" si="4"/>
        <v>18788.00611687222</v>
      </c>
      <c r="AJ61" s="25">
        <f t="shared" si="4"/>
        <v>18883.956417527916</v>
      </c>
      <c r="AK61" s="25">
        <f t="shared" si="4"/>
        <v>18992.726130903378</v>
      </c>
      <c r="AL61" s="25">
        <f t="shared" si="4"/>
        <v>19101.008374032881</v>
      </c>
      <c r="AM61" s="25">
        <f t="shared" si="4"/>
        <v>19221.470143978277</v>
      </c>
      <c r="AP61" s="6">
        <f>ROW()</f>
        <v>61</v>
      </c>
    </row>
    <row r="62" spans="2:42" ht="14" customHeight="1">
      <c r="B62" s="32" t="s">
        <v>4</v>
      </c>
      <c r="I62" s="34">
        <f t="shared" ref="I62:P67" si="5">I51</f>
        <v>622.22090695600014</v>
      </c>
      <c r="J62" s="34">
        <f t="shared" si="5"/>
        <v>326.6572203888029</v>
      </c>
      <c r="K62" s="34">
        <f t="shared" si="5"/>
        <v>334.66280077114277</v>
      </c>
      <c r="L62" s="34">
        <f t="shared" si="5"/>
        <v>235.41105319424432</v>
      </c>
      <c r="M62" s="34">
        <f t="shared" si="5"/>
        <v>198.21730666648958</v>
      </c>
      <c r="N62" s="34">
        <f t="shared" si="5"/>
        <v>188.66953499027218</v>
      </c>
      <c r="O62" s="34">
        <f t="shared" si="5"/>
        <v>143.36624413176713</v>
      </c>
      <c r="P62" s="34">
        <f t="shared" si="5"/>
        <v>116.57786240280477</v>
      </c>
      <c r="Q62" s="34">
        <f>$P62*(Electricity!Q73/Electricity!$P44)*(Electricity!Q55/Electricity!$P55)</f>
        <v>80.090244390037142</v>
      </c>
      <c r="R62" s="34">
        <f>$P62*(Electricity!R73/Electricity!$P44)*(Electricity!R55/Electricity!$P55)</f>
        <v>80.255290640211143</v>
      </c>
      <c r="S62" s="34">
        <f>$P62*(Electricity!S73/Electricity!$P44)*(Electricity!S55/Electricity!$P55)</f>
        <v>80.419495381275041</v>
      </c>
      <c r="T62" s="34">
        <f>$P62*(Electricity!T73/Electricity!$P44)*(Electricity!T55/Electricity!$P55)</f>
        <v>80.582860159218242</v>
      </c>
      <c r="U62" s="34">
        <f>$P62*(Electricity!U73/Electricity!$P44)*(Electricity!U55/Electricity!$P55)</f>
        <v>80.745386600458218</v>
      </c>
      <c r="V62" s="34">
        <f>$P62*(Electricity!V73/Electricity!$P44)*(Electricity!V55/Electricity!$P55)</f>
        <v>80.907076410399753</v>
      </c>
      <c r="W62" s="34">
        <f>$P62*(Electricity!W73/Electricity!$P44)*(Electricity!W55/Electricity!$P55)</f>
        <v>81.067931371993637</v>
      </c>
      <c r="X62" s="34">
        <f>$P62*(Electricity!X73/Electricity!$P44)*(Electricity!X55/Electricity!$P55)</f>
        <v>81.227953344296026</v>
      </c>
      <c r="Y62" s="34">
        <f>$P62*(Electricity!Y73/Electricity!$P44)*(Electricity!Y55/Electricity!$P55)</f>
        <v>81.387144261028737</v>
      </c>
      <c r="Z62" s="34">
        <f>$P62*(Electricity!Z73/Electricity!$P44)*(Electricity!Z55/Electricity!$P55)</f>
        <v>81.54550612914089</v>
      </c>
      <c r="AA62" s="34">
        <f>$P62*(Electricity!AA73/Electricity!$P44)*(Electricity!AA55/Electricity!$P55)</f>
        <v>81.703041027373288</v>
      </c>
      <c r="AB62" s="34">
        <f>$P62*(Electricity!AB73/Electricity!$P44)*(Electricity!AB55/Electricity!$P55)</f>
        <v>81.375534709688282</v>
      </c>
      <c r="AC62" s="34">
        <f>$P62*(Electricity!AC73/Electricity!$P44)*(Electricity!AC55/Electricity!$P55)</f>
        <v>81.045180167256177</v>
      </c>
      <c r="AD62" s="34">
        <f>$P62*(Electricity!AD73/Electricity!$P44)*(Electricity!AD55/Electricity!$P55)</f>
        <v>80.712082709033666</v>
      </c>
      <c r="AE62" s="34">
        <f>$P62*(Electricity!AE73/Electricity!$P44)*(Electricity!AE55/Electricity!$P55)</f>
        <v>80.376346600331232</v>
      </c>
      <c r="AF62" s="34">
        <f>$P62*(Electricity!AF73/Electricity!$P44)*(Electricity!AF55/Electricity!$P55)</f>
        <v>80.038075018245209</v>
      </c>
      <c r="AG62" s="34">
        <f>$P62*(Electricity!AG73/Electricity!$P44)*(Electricity!AG55/Electricity!$P55)</f>
        <v>79.697370009694339</v>
      </c>
      <c r="AH62" s="34">
        <f>$P62*(Electricity!AH73/Electricity!$P44)*(Electricity!AH55/Electricity!$P55)</f>
        <v>79.354332452024664</v>
      </c>
      <c r="AI62" s="34">
        <f>$P62*(Electricity!AI73/Electricity!$P44)*(Electricity!AI55/Electricity!$P55)</f>
        <v>79.009062016143318</v>
      </c>
      <c r="AJ62" s="34">
        <f>$P62*(Electricity!AJ73/Electricity!$P44)*(Electricity!AJ55/Electricity!$P55)</f>
        <v>78.661657132138302</v>
      </c>
      <c r="AK62" s="34">
        <f>$P62*(Electricity!AK73/Electricity!$P44)*(Electricity!AK55/Electricity!$P55)</f>
        <v>78.312214957338341</v>
      </c>
      <c r="AL62" s="34">
        <f>$P62*(Electricity!AL73/Electricity!$P44)*(Electricity!AL55/Electricity!$P55)</f>
        <v>77.655820722283181</v>
      </c>
      <c r="AM62" s="34">
        <f>$P62*(Electricity!AM73/Electricity!$P44)*(Electricity!AM55/Electricity!$P55)</f>
        <v>76.999207949131332</v>
      </c>
      <c r="AP62" s="6">
        <f>ROW()</f>
        <v>62</v>
      </c>
    </row>
    <row r="63" spans="2:42" ht="14" customHeight="1">
      <c r="B63" s="32" t="s">
        <v>222</v>
      </c>
      <c r="I63" s="34">
        <f t="shared" si="5"/>
        <v>9159.2639999999992</v>
      </c>
      <c r="J63" s="34">
        <f t="shared" si="5"/>
        <v>9232.6610000000001</v>
      </c>
      <c r="K63" s="34">
        <f t="shared" si="5"/>
        <v>9290.3490000000002</v>
      </c>
      <c r="L63" s="34">
        <f t="shared" si="5"/>
        <v>8989.2279999999992</v>
      </c>
      <c r="M63" s="34">
        <f t="shared" si="5"/>
        <v>8986.1110000000008</v>
      </c>
      <c r="N63" s="34">
        <f t="shared" si="5"/>
        <v>9034.3259999999991</v>
      </c>
      <c r="O63" s="34">
        <f t="shared" si="5"/>
        <v>8736.1880000000001</v>
      </c>
      <c r="P63" s="34">
        <f t="shared" si="5"/>
        <v>8703.0380000000005</v>
      </c>
      <c r="Q63" s="34">
        <f>$P63*('Personal Ground Travel'!Q63/'Personal Ground Travel'!$P43)*('Personal Ground Travel'!Q60/'Personal Ground Travel'!$P60)</f>
        <v>7787.443655699798</v>
      </c>
      <c r="R63" s="34">
        <f>$P63*('Personal Ground Travel'!R63/'Personal Ground Travel'!$P43)*('Personal Ground Travel'!R60/'Personal Ground Travel'!$P60)</f>
        <v>7858.9968679588328</v>
      </c>
      <c r="S63" s="34">
        <f>$P63*('Personal Ground Travel'!S63/'Personal Ground Travel'!$P43)*('Personal Ground Travel'!S60/'Personal Ground Travel'!$P60)</f>
        <v>7930.8903345750978</v>
      </c>
      <c r="T63" s="34">
        <f>$P63*('Personal Ground Travel'!T63/'Personal Ground Travel'!$P43)*('Personal Ground Travel'!T60/'Personal Ground Travel'!$P60)</f>
        <v>8003.1266732448848</v>
      </c>
      <c r="U63" s="34">
        <f>$P63*('Personal Ground Travel'!U63/'Personal Ground Travel'!$P43)*('Personal Ground Travel'!U60/'Personal Ground Travel'!$P60)</f>
        <v>8075.7086014231472</v>
      </c>
      <c r="V63" s="34">
        <f>$P63*('Personal Ground Travel'!V63/'Personal Ground Travel'!$P43)*('Personal Ground Travel'!V60/'Personal Ground Travel'!$P60)</f>
        <v>8148.6389345575226</v>
      </c>
      <c r="W63" s="34">
        <f>$P63*('Personal Ground Travel'!W63/'Personal Ground Travel'!$P43)*('Personal Ground Travel'!W60/'Personal Ground Travel'!$P60)</f>
        <v>8221.920584295005</v>
      </c>
      <c r="X63" s="34">
        <f>$P63*('Personal Ground Travel'!X63/'Personal Ground Travel'!$P43)*('Personal Ground Travel'!X60/'Personal Ground Travel'!$P60)</f>
        <v>8295.5565566661862</v>
      </c>
      <c r="Y63" s="34">
        <f>$P63*('Personal Ground Travel'!Y63/'Personal Ground Travel'!$P43)*('Personal Ground Travel'!Y60/'Personal Ground Travel'!$P60)</f>
        <v>8369.5499502520724</v>
      </c>
      <c r="Z63" s="34">
        <f>$P63*('Personal Ground Travel'!Z63/'Personal Ground Travel'!$P43)*('Personal Ground Travel'!Z60/'Personal Ground Travel'!$P60)</f>
        <v>8443.903954338055</v>
      </c>
      <c r="AA63" s="34">
        <f>$P63*('Personal Ground Travel'!AA63/'Personal Ground Travel'!$P43)*('Personal Ground Travel'!AA60/'Personal Ground Travel'!$P60)</f>
        <v>8507.9813898847679</v>
      </c>
      <c r="AB63" s="34">
        <f>$P63*('Personal Ground Travel'!AB63/'Personal Ground Travel'!$P43)*('Personal Ground Travel'!AB60/'Personal Ground Travel'!$P60)</f>
        <v>8572.2519121362984</v>
      </c>
      <c r="AC63" s="34">
        <f>$P63*('Personal Ground Travel'!AC63/'Personal Ground Travel'!$P43)*('Personal Ground Travel'!AC60/'Personal Ground Travel'!$P60)</f>
        <v>8636.7179185184941</v>
      </c>
      <c r="AD63" s="34">
        <f>$P63*('Personal Ground Travel'!AD63/'Personal Ground Travel'!$P43)*('Personal Ground Travel'!AD60/'Personal Ground Travel'!$P60)</f>
        <v>8701.3818750141309</v>
      </c>
      <c r="AE63" s="34">
        <f>$P63*('Personal Ground Travel'!AE63/'Personal Ground Travel'!$P43)*('Personal Ground Travel'!AE60/'Personal Ground Travel'!$P60)</f>
        <v>8766.2463138569601</v>
      </c>
      <c r="AF63" s="34">
        <f>$P63*('Personal Ground Travel'!AF63/'Personal Ground Travel'!$P43)*('Personal Ground Travel'!AF60/'Personal Ground Travel'!$P60)</f>
        <v>8831.3138312521169</v>
      </c>
      <c r="AG63" s="34">
        <f>$P63*('Personal Ground Travel'!AG63/'Personal Ground Travel'!$P43)*('Personal Ground Travel'!AG60/'Personal Ground Travel'!$P60)</f>
        <v>8896.5870851259151</v>
      </c>
      <c r="AH63" s="34">
        <f>$P63*('Personal Ground Travel'!AH63/'Personal Ground Travel'!$P43)*('Personal Ground Travel'!AH60/'Personal Ground Travel'!$P60)</f>
        <v>8962.0687929078576</v>
      </c>
      <c r="AI63" s="34">
        <f>$P63*('Personal Ground Travel'!AI63/'Personal Ground Travel'!$P43)*('Personal Ground Travel'!AI60/'Personal Ground Travel'!$P60)</f>
        <v>9027.7617293474268</v>
      </c>
      <c r="AJ63" s="34">
        <f>$P63*('Personal Ground Travel'!AJ63/'Personal Ground Travel'!$P43)*('Personal Ground Travel'!AJ60/'Personal Ground Travel'!$P60)</f>
        <v>9093.6687243679826</v>
      </c>
      <c r="AK63" s="34">
        <f>$P63*('Personal Ground Travel'!AK63/'Personal Ground Travel'!$P43)*('Personal Ground Travel'!AK60/'Personal Ground Travel'!$P60)</f>
        <v>9165.732486287945</v>
      </c>
      <c r="AL63" s="34">
        <f>$P63*('Personal Ground Travel'!AL63/'Personal Ground Travel'!$P43)*('Personal Ground Travel'!AL60/'Personal Ground Travel'!$P60)</f>
        <v>9238.1060470270259</v>
      </c>
      <c r="AM63" s="34">
        <f>$P63*('Personal Ground Travel'!AM63/'Personal Ground Travel'!$P43)*('Personal Ground Travel'!AM60/'Personal Ground Travel'!$P60)</f>
        <v>9316.3960208483022</v>
      </c>
      <c r="AP63" s="6">
        <f>ROW()</f>
        <v>63</v>
      </c>
    </row>
    <row r="64" spans="2:42" ht="14" customHeight="1">
      <c r="B64" s="32" t="s">
        <v>164</v>
      </c>
      <c r="I64" s="34">
        <f t="shared" si="5"/>
        <v>3294.4080000000004</v>
      </c>
      <c r="J64" s="34">
        <f t="shared" si="5"/>
        <v>3335.2960000000003</v>
      </c>
      <c r="K64" s="34">
        <f t="shared" si="5"/>
        <v>3356.7280000000001</v>
      </c>
      <c r="L64" s="34">
        <f t="shared" si="5"/>
        <v>3156.328</v>
      </c>
      <c r="M64" s="34">
        <f t="shared" si="5"/>
        <v>2904.864</v>
      </c>
      <c r="N64" s="34">
        <f t="shared" si="5"/>
        <v>3040.248</v>
      </c>
      <c r="O64" s="34">
        <f t="shared" si="5"/>
        <v>3119.08</v>
      </c>
      <c r="P64" s="34">
        <f t="shared" si="5"/>
        <v>2994.1743999999999</v>
      </c>
      <c r="Q64" s="34">
        <f>$P64*(Freight!Q68/Freight!$P$55)*(Freight!Q65/Freight!$P65)</f>
        <v>2568.8038200900478</v>
      </c>
      <c r="R64" s="34">
        <f>$P64*(Freight!R68/Freight!$P$55)*(Freight!R65/Freight!$P65)</f>
        <v>2585.784380871798</v>
      </c>
      <c r="S64" s="34">
        <f>$P64*(Freight!S68/Freight!$P$55)*(Freight!S65/Freight!$P65)</f>
        <v>2602.603901776044</v>
      </c>
      <c r="T64" s="34">
        <f>$P64*(Freight!T68/Freight!$P$55)*(Freight!T65/Freight!$P65)</f>
        <v>2619.2612735033872</v>
      </c>
      <c r="U64" s="34">
        <f>$P64*(Freight!U68/Freight!$P$55)*(Freight!U65/Freight!$P65)</f>
        <v>2635.7555643911337</v>
      </c>
      <c r="V64" s="34">
        <f>$P64*(Freight!V68/Freight!$P$55)*(Freight!V65/Freight!$P65)</f>
        <v>2652.0860170264241</v>
      </c>
      <c r="W64" s="34">
        <f>$P64*(Freight!W68/Freight!$P$55)*(Freight!W65/Freight!$P65)</f>
        <v>2668.2520445606774</v>
      </c>
      <c r="X64" s="34">
        <f>$P64*(Freight!X68/Freight!$P$55)*(Freight!X65/Freight!$P65)</f>
        <v>2684.2532267485012</v>
      </c>
      <c r="Y64" s="34">
        <f>$P64*(Freight!Y68/Freight!$P$55)*(Freight!Y65/Freight!$P65)</f>
        <v>2700.0893057345065</v>
      </c>
      <c r="Z64" s="34">
        <f>$P64*(Freight!Z68/Freight!$P$55)*(Freight!Z65/Freight!$P65)</f>
        <v>2715.7601816115935</v>
      </c>
      <c r="AA64" s="34">
        <f>$P64*(Freight!AA68/Freight!$P$55)*(Freight!AA65/Freight!$P65)</f>
        <v>2727.8543327041525</v>
      </c>
      <c r="AB64" s="34">
        <f>$P64*(Freight!AB68/Freight!$P$55)*(Freight!AB65/Freight!$P65)</f>
        <v>2739.749497441489</v>
      </c>
      <c r="AC64" s="34">
        <f>$P64*(Freight!AC68/Freight!$P$55)*(Freight!AC65/Freight!$P65)</f>
        <v>2751.4467036347482</v>
      </c>
      <c r="AD64" s="34">
        <f>$P64*(Freight!AD68/Freight!$P$55)*(Freight!AD65/Freight!$P65)</f>
        <v>2762.9471133945722</v>
      </c>
      <c r="AE64" s="34">
        <f>$P64*(Freight!AE68/Freight!$P$55)*(Freight!AE65/Freight!$P65)</f>
        <v>2774.2520170757489</v>
      </c>
      <c r="AF64" s="34">
        <f>$P64*(Freight!AF68/Freight!$P$55)*(Freight!AF65/Freight!$P65)</f>
        <v>2785.362827172466</v>
      </c>
      <c r="AG64" s="34">
        <f>$P64*(Freight!AG68/Freight!$P$55)*(Freight!AG65/Freight!$P65)</f>
        <v>2796.2810721854494</v>
      </c>
      <c r="AH64" s="34">
        <f>$P64*(Freight!AH68/Freight!$P$55)*(Freight!AH65/Freight!$P65)</f>
        <v>2807.0083904813014</v>
      </c>
      <c r="AI64" s="34">
        <f>$P64*(Freight!AI68/Freight!$P$55)*(Freight!AI65/Freight!$P65)</f>
        <v>2817.5465241633456</v>
      </c>
      <c r="AJ64" s="34">
        <f>$P64*(Freight!AJ68/Freight!$P$55)*(Freight!AJ65/Freight!$P65)</f>
        <v>2827.8973129721976</v>
      </c>
      <c r="AK64" s="34">
        <f>$P64*(Freight!AK68/Freight!$P$55)*(Freight!AK65/Freight!$P65)</f>
        <v>2839.9030788688747</v>
      </c>
      <c r="AL64" s="34">
        <f>$P64*(Freight!AL68/Freight!$P$55)*(Freight!AL65/Freight!$P65)</f>
        <v>2851.7395917405479</v>
      </c>
      <c r="AM64" s="34">
        <f>$P64*(Freight!AM68/Freight!$P$55)*(Freight!AM65/Freight!$P65)</f>
        <v>2865.1317698170292</v>
      </c>
      <c r="AP64" s="6">
        <f>ROW()</f>
        <v>64</v>
      </c>
    </row>
    <row r="65" spans="2:42" ht="14" customHeight="1">
      <c r="B65" s="32" t="s">
        <v>18</v>
      </c>
      <c r="I65" s="34">
        <f t="shared" si="5"/>
        <v>1698.1849999999999</v>
      </c>
      <c r="J65" s="34">
        <f t="shared" si="5"/>
        <v>1651.0500000000002</v>
      </c>
      <c r="K65" s="34">
        <f t="shared" si="5"/>
        <v>1639.5309999999999</v>
      </c>
      <c r="L65" s="34">
        <f t="shared" si="5"/>
        <v>1553.8630000000001</v>
      </c>
      <c r="M65" s="34">
        <f t="shared" si="5"/>
        <v>1407.6000000000001</v>
      </c>
      <c r="N65" s="34">
        <f t="shared" si="5"/>
        <v>1445.4229999999998</v>
      </c>
      <c r="O65" s="34">
        <f t="shared" si="5"/>
        <v>1440.02</v>
      </c>
      <c r="P65" s="34">
        <f t="shared" si="5"/>
        <v>1413.06</v>
      </c>
      <c r="Q65" s="34">
        <f>$P65*(Aviation!Q68/Aviation!$P43)*(Aviation!Q65/Aviation!$P65)</f>
        <v>1209.1069184677735</v>
      </c>
      <c r="R65" s="34">
        <f>$P65*(Aviation!R68/Aviation!$P43)*(Aviation!R65/Aviation!$P65)</f>
        <v>1219.9400495546636</v>
      </c>
      <c r="S65" s="34">
        <f>$P65*(Aviation!S68/Aviation!$P43)*(Aviation!S65/Aviation!$P65)</f>
        <v>1230.6545795554655</v>
      </c>
      <c r="T65" s="34">
        <f>$P65*(Aviation!T68/Aviation!$P43)*(Aviation!T65/Aviation!$P65)</f>
        <v>1241.2498562893593</v>
      </c>
      <c r="U65" s="34">
        <f>$P65*(Aviation!U68/Aviation!$P43)*(Aviation!U65/Aviation!$P65)</f>
        <v>1251.7254317752449</v>
      </c>
      <c r="V65" s="34">
        <f>$P65*(Aviation!V68/Aviation!$P43)*(Aviation!V65/Aviation!$P65)</f>
        <v>1262.0810552437276</v>
      </c>
      <c r="W65" s="34">
        <f>$P65*(Aviation!W68/Aviation!$P43)*(Aviation!W65/Aviation!$P65)</f>
        <v>1272.3166657767952</v>
      </c>
      <c r="X65" s="34">
        <f>$P65*(Aviation!X68/Aviation!$P43)*(Aviation!X65/Aviation!$P65)</f>
        <v>1282.4323846321286</v>
      </c>
      <c r="Y65" s="34">
        <f>$P65*(Aviation!Y68/Aviation!$P43)*(Aviation!Y65/Aviation!$P65)</f>
        <v>1292.4285073075571</v>
      </c>
      <c r="Z65" s="34">
        <f>$P65*(Aviation!Z68/Aviation!$P43)*(Aviation!Z65/Aviation!$P65)</f>
        <v>1302.3054953993469</v>
      </c>
      <c r="AA65" s="34">
        <f>$P65*(Aviation!AA68/Aviation!$P43)*(Aviation!AA65/Aviation!$P65)</f>
        <v>1309.6064229050469</v>
      </c>
      <c r="AB65" s="34">
        <f>$P65*(Aviation!AB68/Aviation!$P43)*(Aviation!AB65/Aviation!$P65)</f>
        <v>1316.7581260316426</v>
      </c>
      <c r="AC65" s="34">
        <f>$P65*(Aviation!AC68/Aviation!$P43)*(Aviation!AC65/Aviation!$P65)</f>
        <v>1323.7622625252943</v>
      </c>
      <c r="AD65" s="34">
        <f>$P65*(Aviation!AD68/Aviation!$P43)*(Aviation!AD65/Aviation!$P65)</f>
        <v>1330.620612119136</v>
      </c>
      <c r="AE65" s="34">
        <f>$P65*(Aviation!AE68/Aviation!$P43)*(Aviation!AE65/Aviation!$P65)</f>
        <v>1337.3350669701933</v>
      </c>
      <c r="AF65" s="34">
        <f>$P65*(Aviation!AF68/Aviation!$P43)*(Aviation!AF65/Aviation!$P65)</f>
        <v>1343.9076222594917</v>
      </c>
      <c r="AG65" s="34">
        <f>$P65*(Aviation!AG68/Aviation!$P43)*(Aviation!AG65/Aviation!$P65)</f>
        <v>1350.3403669879547</v>
      </c>
      <c r="AH65" s="34">
        <f>$P65*(Aviation!AH68/Aviation!$P43)*(Aviation!AH65/Aviation!$P65)</f>
        <v>1356.6354749971144</v>
      </c>
      <c r="AI65" s="34">
        <f>$P65*(Aviation!AI68/Aviation!$P43)*(Aviation!AI65/Aviation!$P65)</f>
        <v>1362.7951962401169</v>
      </c>
      <c r="AJ65" s="34">
        <f>$P65*(Aviation!AJ68/Aviation!$P43)*(Aviation!AJ65/Aviation!$P65)</f>
        <v>1368.821848325088</v>
      </c>
      <c r="AK65" s="34">
        <f>$P65*(Aviation!AK68/Aviation!$P43)*(Aviation!AK65/Aviation!$P65)</f>
        <v>1376.0552142704462</v>
      </c>
      <c r="AL65" s="34">
        <f>$P65*(Aviation!AL68/Aviation!$P43)*(Aviation!AL65/Aviation!$P65)</f>
        <v>1383.1728457548668</v>
      </c>
      <c r="AM65" s="34">
        <f>$P65*(Aviation!AM68/Aviation!$P43)*(Aviation!AM65/Aviation!$P65)</f>
        <v>1391.43193943763</v>
      </c>
      <c r="AP65" s="6">
        <f>ROW()</f>
        <v>65</v>
      </c>
    </row>
    <row r="66" spans="2:42" ht="14" customHeight="1">
      <c r="B66" s="32" t="s">
        <v>740</v>
      </c>
      <c r="I66" s="34">
        <f t="shared" si="5"/>
        <v>6242.3903825433181</v>
      </c>
      <c r="J66" s="34">
        <f t="shared" si="5"/>
        <v>6763.1041139327444</v>
      </c>
      <c r="K66" s="34">
        <f t="shared" si="5"/>
        <v>6336.5412128993003</v>
      </c>
      <c r="L66" s="34">
        <f t="shared" si="5"/>
        <v>6183.7627877423047</v>
      </c>
      <c r="M66" s="34">
        <f t="shared" si="5"/>
        <v>5979.8646146059937</v>
      </c>
      <c r="N66" s="34">
        <f t="shared" si="5"/>
        <v>6090.0605596423029</v>
      </c>
      <c r="O66" s="34">
        <f t="shared" si="5"/>
        <v>6147.2795048963835</v>
      </c>
      <c r="P66" s="34">
        <f t="shared" si="5"/>
        <v>5572.174562940294</v>
      </c>
      <c r="Q66" s="34">
        <f>$P66*(Other_Petrol!Q68/Other_Petrol!$P54)</f>
        <v>5141.1319679654098</v>
      </c>
      <c r="R66" s="34">
        <f>$P66*(Other_Petrol!R68/Other_Petrol!$P54)</f>
        <v>5166.7070913151692</v>
      </c>
      <c r="S66" s="34">
        <f>$P66*(Other_Petrol!S68/Other_Petrol!$P54)</f>
        <v>5192.077602972452</v>
      </c>
      <c r="T66" s="34">
        <f>$P66*(Other_Petrol!T68/Other_Petrol!$P54)</f>
        <v>5217.2441906466938</v>
      </c>
      <c r="U66" s="34">
        <f>$P66*(Other_Petrol!U68/Other_Petrol!$P54)</f>
        <v>5242.2076203571387</v>
      </c>
      <c r="V66" s="34">
        <f>$P66*(Other_Petrol!V68/Other_Petrol!$P54)</f>
        <v>5266.9687327557112</v>
      </c>
      <c r="W66" s="34">
        <f>$P66*(Other_Petrol!W68/Other_Petrol!$P54)</f>
        <v>5291.5284395010058</v>
      </c>
      <c r="X66" s="34">
        <f>$P66*(Other_Petrol!X68/Other_Petrol!$P54)</f>
        <v>5315.8877196883768</v>
      </c>
      <c r="Y66" s="34">
        <f>$P66*(Other_Petrol!Y68/Other_Petrol!$P54)</f>
        <v>5340.0476163406183</v>
      </c>
      <c r="Z66" s="34">
        <f>$P66*(Other_Petrol!Z68/Other_Petrol!$P54)</f>
        <v>5364.0092329633399</v>
      </c>
      <c r="AA66" s="34">
        <f>$P66*(Other_Petrol!AA68/Other_Petrol!$P54)</f>
        <v>5380.2033288767907</v>
      </c>
      <c r="AB66" s="34">
        <f>$P66*(Other_Petrol!AB68/Other_Petrol!$P54)</f>
        <v>5396.1459707353706</v>
      </c>
      <c r="AC66" s="34">
        <f>$P66*(Other_Petrol!AC68/Other_Petrol!$P54)</f>
        <v>5411.8393673624969</v>
      </c>
      <c r="AD66" s="34">
        <f>$P66*(Other_Petrol!AD68/Other_Petrol!$P54)</f>
        <v>5427.2857650983069</v>
      </c>
      <c r="AE66" s="34">
        <f>$P66*(Other_Petrol!AE68/Other_Petrol!$P54)</f>
        <v>5442.4874444470606</v>
      </c>
      <c r="AF66" s="34">
        <f>$P66*(Other_Petrol!AF68/Other_Petrol!$P54)</f>
        <v>5457.4467168320507</v>
      </c>
      <c r="AG66" s="34">
        <f>$P66*(Other_Petrol!AG68/Other_Petrol!$P54)</f>
        <v>5472.1659214586334</v>
      </c>
      <c r="AH66" s="34">
        <f>$P66*(Other_Petrol!AH68/Other_Petrol!$P54)</f>
        <v>5486.6474222856459</v>
      </c>
      <c r="AI66" s="34">
        <f>$P66*(Other_Petrol!AI68/Other_Petrol!$P54)</f>
        <v>5500.8936051051887</v>
      </c>
      <c r="AJ66" s="34">
        <f>$P66*(Other_Petrol!AJ68/Other_Petrol!$P54)</f>
        <v>5514.9068747305109</v>
      </c>
      <c r="AK66" s="34">
        <f>$P66*(Other_Petrol!AK68/Other_Petrol!$P54)</f>
        <v>5532.7231365187745</v>
      </c>
      <c r="AL66" s="34">
        <f>$P66*(Other_Petrol!AL68/Other_Petrol!$P54)</f>
        <v>5550.3340687881573</v>
      </c>
      <c r="AM66" s="34">
        <f>$P66*(Other_Petrol!AM68/Other_Petrol!$P54)</f>
        <v>5571.5112059261837</v>
      </c>
      <c r="AP66" s="6">
        <f>ROW()</f>
        <v>66</v>
      </c>
    </row>
    <row r="67" spans="2:42" ht="14" customHeight="1">
      <c r="B67" s="32" t="s">
        <v>739</v>
      </c>
      <c r="I67" s="34">
        <f t="shared" si="5"/>
        <v>0</v>
      </c>
      <c r="J67" s="34">
        <f t="shared" si="5"/>
        <v>0</v>
      </c>
      <c r="K67" s="34">
        <f t="shared" si="5"/>
        <v>0</v>
      </c>
      <c r="L67" s="34">
        <f t="shared" si="5"/>
        <v>0</v>
      </c>
      <c r="M67" s="34">
        <f t="shared" si="5"/>
        <v>0</v>
      </c>
      <c r="N67" s="34">
        <f t="shared" si="5"/>
        <v>0</v>
      </c>
      <c r="O67" s="34">
        <f t="shared" si="5"/>
        <v>0</v>
      </c>
      <c r="P67" s="34">
        <f t="shared" si="5"/>
        <v>0</v>
      </c>
      <c r="Q67" s="34">
        <f>$P$67*('Other_Natural Gas'!Q80/'Other_Natural Gas'!$P$58)</f>
        <v>0</v>
      </c>
      <c r="R67" s="34">
        <f>$P$67*('Other_Natural Gas'!R80/'Other_Natural Gas'!$P$58)</f>
        <v>0</v>
      </c>
      <c r="S67" s="34">
        <f>$P$67*('Other_Natural Gas'!S80/'Other_Natural Gas'!$P$58)</f>
        <v>0</v>
      </c>
      <c r="T67" s="34">
        <f>$P$67*('Other_Natural Gas'!T80/'Other_Natural Gas'!$P$58)</f>
        <v>0</v>
      </c>
      <c r="U67" s="34">
        <f>$P$67*('Other_Natural Gas'!U80/'Other_Natural Gas'!$P$58)</f>
        <v>0</v>
      </c>
      <c r="V67" s="34">
        <f>$P$67*('Other_Natural Gas'!V80/'Other_Natural Gas'!$P$58)</f>
        <v>0</v>
      </c>
      <c r="W67" s="34">
        <f>$P$67*('Other_Natural Gas'!W80/'Other_Natural Gas'!$P$58)</f>
        <v>0</v>
      </c>
      <c r="X67" s="34">
        <f>$P$67*('Other_Natural Gas'!X80/'Other_Natural Gas'!$P$58)</f>
        <v>0</v>
      </c>
      <c r="Y67" s="34">
        <f>$P$67*('Other_Natural Gas'!Y80/'Other_Natural Gas'!$P$58)</f>
        <v>0</v>
      </c>
      <c r="Z67" s="34">
        <f>$P$67*('Other_Natural Gas'!Z80/'Other_Natural Gas'!$P$58)</f>
        <v>0</v>
      </c>
      <c r="AA67" s="34">
        <f>$P$67*('Other_Natural Gas'!AA80/'Other_Natural Gas'!$P$58)</f>
        <v>0</v>
      </c>
      <c r="AB67" s="34">
        <f>$P$67*('Other_Natural Gas'!AB80/'Other_Natural Gas'!$P$58)</f>
        <v>0</v>
      </c>
      <c r="AC67" s="34">
        <f>$P$67*('Other_Natural Gas'!AC80/'Other_Natural Gas'!$P$58)</f>
        <v>0</v>
      </c>
      <c r="AD67" s="34">
        <f>$P$67*('Other_Natural Gas'!AD80/'Other_Natural Gas'!$P$58)</f>
        <v>0</v>
      </c>
      <c r="AE67" s="34">
        <f>$P$67*('Other_Natural Gas'!AE80/'Other_Natural Gas'!$P$58)</f>
        <v>0</v>
      </c>
      <c r="AF67" s="34">
        <f>$P$67*('Other_Natural Gas'!AF80/'Other_Natural Gas'!$P$58)</f>
        <v>0</v>
      </c>
      <c r="AG67" s="34">
        <f>$P$67*('Other_Natural Gas'!AG80/'Other_Natural Gas'!$P$58)</f>
        <v>0</v>
      </c>
      <c r="AH67" s="34">
        <f>$P$67*('Other_Natural Gas'!AH80/'Other_Natural Gas'!$P$58)</f>
        <v>0</v>
      </c>
      <c r="AI67" s="34">
        <f>$P$67*('Other_Natural Gas'!AI80/'Other_Natural Gas'!$P$58)</f>
        <v>0</v>
      </c>
      <c r="AJ67" s="34">
        <f>$P$67*('Other_Natural Gas'!AJ80/'Other_Natural Gas'!$P$58)</f>
        <v>0</v>
      </c>
      <c r="AK67" s="34">
        <f>$P$67*('Other_Natural Gas'!AK80/'Other_Natural Gas'!$P$58)</f>
        <v>0</v>
      </c>
      <c r="AL67" s="34">
        <f>$P$67*('Other_Natural Gas'!AL80/'Other_Natural Gas'!$P$58)</f>
        <v>0</v>
      </c>
      <c r="AM67" s="34">
        <f>$P$67*('Other_Natural Gas'!AM80/'Other_Natural Gas'!$P$58)</f>
        <v>0</v>
      </c>
      <c r="AP67" s="6">
        <f>ROW()</f>
        <v>67</v>
      </c>
    </row>
    <row r="68" spans="2:42" ht="14" customHeight="1">
      <c r="AP68" s="6">
        <f>ROW()</f>
        <v>68</v>
      </c>
    </row>
    <row r="69" spans="2:42" ht="14" customHeight="1">
      <c r="B69" s="8" t="s">
        <v>374</v>
      </c>
      <c r="Q69" s="25">
        <f t="shared" ref="Q69:AM69" si="6">Q50-Q61</f>
        <v>1972.6401048715634</v>
      </c>
      <c r="R69" s="25">
        <f t="shared" si="6"/>
        <v>1981.0979910701717</v>
      </c>
      <c r="S69" s="25">
        <f t="shared" si="6"/>
        <v>1990.810493781566</v>
      </c>
      <c r="T69" s="25">
        <f t="shared" si="6"/>
        <v>2001.8128428606797</v>
      </c>
      <c r="U69" s="25">
        <f t="shared" si="6"/>
        <v>2014.1404425551373</v>
      </c>
      <c r="V69" s="25">
        <f t="shared" si="6"/>
        <v>2027.8288969143105</v>
      </c>
      <c r="W69" s="25">
        <f t="shared" si="6"/>
        <v>2042.9140368132757</v>
      </c>
      <c r="X69" s="25">
        <f t="shared" si="6"/>
        <v>2059.4319485051674</v>
      </c>
      <c r="Y69" s="25">
        <f t="shared" si="6"/>
        <v>2077.4190036159998</v>
      </c>
      <c r="Z69" s="25">
        <f t="shared" si="6"/>
        <v>2096.9118904982533</v>
      </c>
      <c r="AA69" s="25">
        <f t="shared" si="6"/>
        <v>2114.8638229159842</v>
      </c>
      <c r="AB69" s="25">
        <f t="shared" si="6"/>
        <v>2133.9253525575041</v>
      </c>
      <c r="AC69" s="25">
        <f t="shared" si="6"/>
        <v>2154.5018231681715</v>
      </c>
      <c r="AD69" s="25">
        <f t="shared" si="6"/>
        <v>2176.6227120408766</v>
      </c>
      <c r="AE69" s="25">
        <f t="shared" si="6"/>
        <v>2200.3177390526798</v>
      </c>
      <c r="AF69" s="25">
        <f t="shared" si="6"/>
        <v>2225.6168999892288</v>
      </c>
      <c r="AG69" s="25">
        <f t="shared" si="6"/>
        <v>2252.5505003473481</v>
      </c>
      <c r="AH69" s="25">
        <f t="shared" si="6"/>
        <v>2281.1491895552208</v>
      </c>
      <c r="AI69" s="25">
        <f t="shared" si="6"/>
        <v>2311.4439955544622</v>
      </c>
      <c r="AJ69" s="25">
        <f t="shared" si="6"/>
        <v>2343.4663596943647</v>
      </c>
      <c r="AK69" s="25">
        <f t="shared" si="6"/>
        <v>2379.1666597266158</v>
      </c>
      <c r="AL69" s="25">
        <f t="shared" si="6"/>
        <v>2416.5473221588618</v>
      </c>
      <c r="AM69" s="25">
        <f t="shared" si="6"/>
        <v>2457.7105156062971</v>
      </c>
      <c r="AP69" s="6">
        <f>ROW()</f>
        <v>69</v>
      </c>
    </row>
    <row r="70" spans="2:42" ht="14" customHeight="1">
      <c r="B70" s="32" t="s">
        <v>887</v>
      </c>
      <c r="Q70" s="34">
        <f t="shared" ref="Q70:AM70" si="7">Q51-Q62</f>
        <v>37.010197427394232</v>
      </c>
      <c r="R70" s="34">
        <f t="shared" si="7"/>
        <v>36.872211818718242</v>
      </c>
      <c r="S70" s="34">
        <f t="shared" si="7"/>
        <v>36.735073972572962</v>
      </c>
      <c r="T70" s="34">
        <f t="shared" si="7"/>
        <v>36.598782344414118</v>
      </c>
      <c r="U70" s="34">
        <f t="shared" si="7"/>
        <v>36.463335309269652</v>
      </c>
      <c r="V70" s="34">
        <f t="shared" si="7"/>
        <v>36.328731163180549</v>
      </c>
      <c r="W70" s="34">
        <f t="shared" si="7"/>
        <v>36.194968124642102</v>
      </c>
      <c r="X70" s="34">
        <f t="shared" si="7"/>
        <v>36.062044336044622</v>
      </c>
      <c r="Y70" s="34">
        <f t="shared" si="7"/>
        <v>35.929957865113067</v>
      </c>
      <c r="Z70" s="34">
        <f t="shared" si="7"/>
        <v>35.798706706345357</v>
      </c>
      <c r="AA70" s="34">
        <f t="shared" si="7"/>
        <v>35.668288782448187</v>
      </c>
      <c r="AB70" s="34">
        <f t="shared" si="7"/>
        <v>35.170591970362835</v>
      </c>
      <c r="AC70" s="34">
        <f t="shared" si="7"/>
        <v>34.681545142334002</v>
      </c>
      <c r="AD70" s="34">
        <f t="shared" si="7"/>
        <v>34.201002198950064</v>
      </c>
      <c r="AE70" s="34">
        <f t="shared" si="7"/>
        <v>33.728818371231171</v>
      </c>
      <c r="AF70" s="34">
        <f t="shared" si="7"/>
        <v>33.26485026318106</v>
      </c>
      <c r="AG70" s="34">
        <f t="shared" si="7"/>
        <v>32.808955891748226</v>
      </c>
      <c r="AH70" s="34">
        <f t="shared" si="7"/>
        <v>32.360994724232896</v>
      </c>
      <c r="AI70" s="34">
        <f t="shared" si="7"/>
        <v>31.920827713179435</v>
      </c>
      <c r="AJ70" s="34">
        <f t="shared" si="7"/>
        <v>31.488317328796157</v>
      </c>
      <c r="AK70" s="34">
        <f t="shared" si="7"/>
        <v>31.063327588949093</v>
      </c>
      <c r="AL70" s="34">
        <f t="shared" si="7"/>
        <v>30.451399654476361</v>
      </c>
      <c r="AM70" s="34">
        <f t="shared" si="7"/>
        <v>29.854397761151432</v>
      </c>
      <c r="AP70" s="6">
        <f>ROW()</f>
        <v>70</v>
      </c>
    </row>
    <row r="71" spans="2:42" ht="14" customHeight="1">
      <c r="B71" s="32" t="s">
        <v>888</v>
      </c>
      <c r="Q71" s="34">
        <f t="shared" ref="Q71:AM71" si="8">Q52-Q63</f>
        <v>662.72750133392674</v>
      </c>
      <c r="R71" s="34">
        <f t="shared" si="8"/>
        <v>652.64884837161298</v>
      </c>
      <c r="S71" s="34">
        <f t="shared" si="8"/>
        <v>642.67659243137587</v>
      </c>
      <c r="T71" s="34">
        <f t="shared" si="8"/>
        <v>632.8113575077341</v>
      </c>
      <c r="U71" s="34">
        <f t="shared" si="8"/>
        <v>623.05369134247758</v>
      </c>
      <c r="V71" s="34">
        <f t="shared" si="8"/>
        <v>613.40406736096884</v>
      </c>
      <c r="W71" s="34">
        <f t="shared" si="8"/>
        <v>603.86288663702544</v>
      </c>
      <c r="X71" s="34">
        <f t="shared" si="8"/>
        <v>594.43047988144644</v>
      </c>
      <c r="Y71" s="34">
        <f t="shared" si="8"/>
        <v>585.10710944924904</v>
      </c>
      <c r="Z71" s="34">
        <f t="shared" si="8"/>
        <v>575.89297136100504</v>
      </c>
      <c r="AA71" s="34">
        <f t="shared" si="8"/>
        <v>566.0802324013348</v>
      </c>
      <c r="AB71" s="34">
        <f t="shared" si="8"/>
        <v>556.40026906016465</v>
      </c>
      <c r="AC71" s="34">
        <f t="shared" si="8"/>
        <v>546.85263778801527</v>
      </c>
      <c r="AD71" s="34">
        <f t="shared" si="8"/>
        <v>537.43683817966667</v>
      </c>
      <c r="AE71" s="34">
        <f t="shared" si="8"/>
        <v>528.15231535010025</v>
      </c>
      <c r="AF71" s="34">
        <f t="shared" si="8"/>
        <v>518.99846228452407</v>
      </c>
      <c r="AG71" s="34">
        <f t="shared" si="8"/>
        <v>509.97462215941414</v>
      </c>
      <c r="AH71" s="34">
        <f t="shared" si="8"/>
        <v>501.08009063178724</v>
      </c>
      <c r="AI71" s="34">
        <f t="shared" si="8"/>
        <v>492.31411809408928</v>
      </c>
      <c r="AJ71" s="34">
        <f t="shared" si="8"/>
        <v>483.67591189242194</v>
      </c>
      <c r="AK71" s="34">
        <f t="shared" si="8"/>
        <v>475.47276720044829</v>
      </c>
      <c r="AL71" s="34">
        <f t="shared" si="8"/>
        <v>467.38500428828047</v>
      </c>
      <c r="AM71" s="34">
        <f t="shared" si="8"/>
        <v>459.68841544393945</v>
      </c>
      <c r="AP71" s="6">
        <f>ROW()</f>
        <v>71</v>
      </c>
    </row>
    <row r="72" spans="2:42" ht="14" customHeight="1">
      <c r="B72" s="32" t="s">
        <v>890</v>
      </c>
      <c r="Q72" s="34">
        <f t="shared" ref="Q72:AM72" si="9">Q53-Q64</f>
        <v>459.99989019639725</v>
      </c>
      <c r="R72" s="34">
        <f t="shared" si="9"/>
        <v>454.31534539883705</v>
      </c>
      <c r="S72" s="34">
        <f t="shared" si="9"/>
        <v>448.67171077010926</v>
      </c>
      <c r="T72" s="34">
        <f t="shared" si="9"/>
        <v>443.07217193869383</v>
      </c>
      <c r="U72" s="34">
        <f t="shared" si="9"/>
        <v>437.51975105004522</v>
      </c>
      <c r="V72" s="34">
        <f t="shared" si="9"/>
        <v>432.01730714300902</v>
      </c>
      <c r="W72" s="34">
        <f t="shared" si="9"/>
        <v>426.56753695649559</v>
      </c>
      <c r="X72" s="34">
        <f t="shared" si="9"/>
        <v>421.17297614269182</v>
      </c>
      <c r="Y72" s="34">
        <f t="shared" si="9"/>
        <v>415.83600086241677</v>
      </c>
      <c r="Z72" s="34">
        <f t="shared" si="9"/>
        <v>410.55882973775761</v>
      </c>
      <c r="AA72" s="34">
        <f t="shared" si="9"/>
        <v>404.83721883641147</v>
      </c>
      <c r="AB72" s="34">
        <f t="shared" si="9"/>
        <v>399.19287990172415</v>
      </c>
      <c r="AC72" s="34">
        <f t="shared" si="9"/>
        <v>393.62730368358734</v>
      </c>
      <c r="AD72" s="34">
        <f t="shared" si="9"/>
        <v>388.14182687588709</v>
      </c>
      <c r="AE72" s="34">
        <f t="shared" si="9"/>
        <v>382.73763639445315</v>
      </c>
      <c r="AF72" s="34">
        <f t="shared" si="9"/>
        <v>377.4157738322715</v>
      </c>
      <c r="AG72" s="34">
        <f t="shared" si="9"/>
        <v>372.17714006666301</v>
      </c>
      <c r="AH72" s="34">
        <f t="shared" si="9"/>
        <v>367.02249999399919</v>
      </c>
      <c r="AI72" s="34">
        <f t="shared" si="9"/>
        <v>361.95248736844906</v>
      </c>
      <c r="AJ72" s="34">
        <f t="shared" si="9"/>
        <v>356.96760972229777</v>
      </c>
      <c r="AK72" s="34">
        <f t="shared" si="9"/>
        <v>352.29655806967639</v>
      </c>
      <c r="AL72" s="34">
        <f t="shared" si="9"/>
        <v>347.70520090286118</v>
      </c>
      <c r="AM72" s="34">
        <f t="shared" si="9"/>
        <v>343.4003879445022</v>
      </c>
      <c r="AP72" s="6">
        <f>ROW()</f>
        <v>72</v>
      </c>
    </row>
    <row r="73" spans="2:42" ht="14" customHeight="1">
      <c r="B73" s="32" t="s">
        <v>889</v>
      </c>
      <c r="Q73" s="34">
        <f t="shared" ref="Q73:AM73" si="10">Q54-Q65</f>
        <v>317.25717068516747</v>
      </c>
      <c r="R73" s="34">
        <f t="shared" si="10"/>
        <v>346.17616312562586</v>
      </c>
      <c r="S73" s="34">
        <f t="shared" si="10"/>
        <v>376.24904786228649</v>
      </c>
      <c r="T73" s="34">
        <f t="shared" si="10"/>
        <v>407.50343985920267</v>
      </c>
      <c r="U73" s="34">
        <f t="shared" si="10"/>
        <v>439.96745209055257</v>
      </c>
      <c r="V73" s="34">
        <f t="shared" si="10"/>
        <v>473.66972081677545</v>
      </c>
      <c r="W73" s="34">
        <f t="shared" si="10"/>
        <v>508.63943170930543</v>
      </c>
      <c r="X73" s="34">
        <f t="shared" si="10"/>
        <v>544.9063467793685</v>
      </c>
      <c r="Y73" s="34">
        <f t="shared" si="10"/>
        <v>582.50083206805334</v>
      </c>
      <c r="Z73" s="34">
        <f t="shared" si="10"/>
        <v>621.45388605703056</v>
      </c>
      <c r="AA73" s="34">
        <f t="shared" si="10"/>
        <v>660.55759765267749</v>
      </c>
      <c r="AB73" s="34">
        <f t="shared" si="10"/>
        <v>700.92989946438524</v>
      </c>
      <c r="AC73" s="34">
        <f t="shared" si="10"/>
        <v>742.59613492305607</v>
      </c>
      <c r="AD73" s="34">
        <f t="shared" si="10"/>
        <v>785.58217679101813</v>
      </c>
      <c r="AE73" s="34">
        <f t="shared" si="10"/>
        <v>829.91445243610838</v>
      </c>
      <c r="AF73" s="34">
        <f t="shared" si="10"/>
        <v>875.61996932155398</v>
      </c>
      <c r="AG73" s="34">
        <f t="shared" si="10"/>
        <v>922.72634068817501</v>
      </c>
      <c r="AH73" s="34">
        <f t="shared" si="10"/>
        <v>971.2618114092636</v>
      </c>
      <c r="AI73" s="34">
        <f t="shared" si="10"/>
        <v>1021.2552840022352</v>
      </c>
      <c r="AJ73" s="34">
        <f t="shared" si="10"/>
        <v>1072.7363447848093</v>
      </c>
      <c r="AK73" s="34">
        <f t="shared" si="10"/>
        <v>1126.830471325796</v>
      </c>
      <c r="AL73" s="34">
        <f t="shared" si="10"/>
        <v>1182.5807671800524</v>
      </c>
      <c r="AM73" s="34">
        <f t="shared" si="10"/>
        <v>1241.1433153892519</v>
      </c>
      <c r="AP73" s="6">
        <f>ROW()</f>
        <v>73</v>
      </c>
    </row>
    <row r="74" spans="2:42" ht="14" customHeight="1">
      <c r="B74" s="32" t="s">
        <v>891</v>
      </c>
      <c r="Q74" s="34">
        <f t="shared" ref="Q74:AM74" si="11">Q55-Q66</f>
        <v>495.64534522867689</v>
      </c>
      <c r="R74" s="34">
        <f t="shared" si="11"/>
        <v>491.08542235537789</v>
      </c>
      <c r="S74" s="34">
        <f t="shared" si="11"/>
        <v>486.47806874522212</v>
      </c>
      <c r="T74" s="34">
        <f t="shared" si="11"/>
        <v>481.82709121063272</v>
      </c>
      <c r="U74" s="34">
        <f t="shared" si="11"/>
        <v>477.13621276279264</v>
      </c>
      <c r="V74" s="34">
        <f t="shared" si="11"/>
        <v>472.40907043037623</v>
      </c>
      <c r="W74" s="34">
        <f t="shared" si="11"/>
        <v>467.64921338581007</v>
      </c>
      <c r="X74" s="34">
        <f t="shared" si="11"/>
        <v>462.86010136561526</v>
      </c>
      <c r="Y74" s="34">
        <f t="shared" si="11"/>
        <v>458.04510337116699</v>
      </c>
      <c r="Z74" s="34">
        <f t="shared" si="11"/>
        <v>453.20749663611423</v>
      </c>
      <c r="AA74" s="34">
        <f t="shared" si="11"/>
        <v>447.72048524311322</v>
      </c>
      <c r="AB74" s="34">
        <f t="shared" si="11"/>
        <v>442.23171216086575</v>
      </c>
      <c r="AC74" s="34">
        <f t="shared" si="11"/>
        <v>436.74420163118066</v>
      </c>
      <c r="AD74" s="34">
        <f t="shared" si="11"/>
        <v>431.26086799535187</v>
      </c>
      <c r="AE74" s="34">
        <f t="shared" si="11"/>
        <v>425.78451650078932</v>
      </c>
      <c r="AF74" s="34">
        <f t="shared" si="11"/>
        <v>420.31784428769879</v>
      </c>
      <c r="AG74" s="34">
        <f t="shared" si="11"/>
        <v>414.8634415413535</v>
      </c>
      <c r="AH74" s="34">
        <f t="shared" si="11"/>
        <v>409.42379279593843</v>
      </c>
      <c r="AI74" s="34">
        <f t="shared" si="11"/>
        <v>404.00127837651053</v>
      </c>
      <c r="AJ74" s="34">
        <f t="shared" si="11"/>
        <v>398.59817596603898</v>
      </c>
      <c r="AK74" s="34">
        <f t="shared" si="11"/>
        <v>393.50353554174671</v>
      </c>
      <c r="AL74" s="34">
        <f t="shared" si="11"/>
        <v>388.42495013319149</v>
      </c>
      <c r="AM74" s="34">
        <f t="shared" si="11"/>
        <v>383.62399906745304</v>
      </c>
      <c r="AP74" s="6">
        <f>ROW()</f>
        <v>74</v>
      </c>
    </row>
    <row r="75" spans="2:42" ht="14" customHeight="1">
      <c r="B75" s="32" t="s">
        <v>892</v>
      </c>
      <c r="Q75" s="34">
        <f t="shared" ref="Q75:AM75" si="12">Q56-Q67</f>
        <v>0</v>
      </c>
      <c r="R75" s="34">
        <f t="shared" si="12"/>
        <v>0</v>
      </c>
      <c r="S75" s="34">
        <f t="shared" si="12"/>
        <v>0</v>
      </c>
      <c r="T75" s="34">
        <f t="shared" si="12"/>
        <v>0</v>
      </c>
      <c r="U75" s="34">
        <f t="shared" si="12"/>
        <v>0</v>
      </c>
      <c r="V75" s="34">
        <f t="shared" si="12"/>
        <v>0</v>
      </c>
      <c r="W75" s="34">
        <f t="shared" si="12"/>
        <v>0</v>
      </c>
      <c r="X75" s="34">
        <f t="shared" si="12"/>
        <v>0</v>
      </c>
      <c r="Y75" s="34">
        <f t="shared" si="12"/>
        <v>0</v>
      </c>
      <c r="Z75" s="34">
        <f t="shared" si="12"/>
        <v>0</v>
      </c>
      <c r="AA75" s="34">
        <f t="shared" si="12"/>
        <v>0</v>
      </c>
      <c r="AB75" s="34">
        <f t="shared" si="12"/>
        <v>0</v>
      </c>
      <c r="AC75" s="34">
        <f t="shared" si="12"/>
        <v>0</v>
      </c>
      <c r="AD75" s="34">
        <f t="shared" si="12"/>
        <v>0</v>
      </c>
      <c r="AE75" s="34">
        <f t="shared" si="12"/>
        <v>0</v>
      </c>
      <c r="AF75" s="34">
        <f t="shared" si="12"/>
        <v>0</v>
      </c>
      <c r="AG75" s="34">
        <f t="shared" si="12"/>
        <v>0</v>
      </c>
      <c r="AH75" s="34">
        <f t="shared" si="12"/>
        <v>0</v>
      </c>
      <c r="AI75" s="34">
        <f t="shared" si="12"/>
        <v>0</v>
      </c>
      <c r="AJ75" s="34">
        <f t="shared" si="12"/>
        <v>0</v>
      </c>
      <c r="AK75" s="34">
        <f t="shared" si="12"/>
        <v>0</v>
      </c>
      <c r="AL75" s="34">
        <f t="shared" si="12"/>
        <v>0</v>
      </c>
      <c r="AM75" s="34">
        <f t="shared" si="12"/>
        <v>0</v>
      </c>
      <c r="AP75" s="6">
        <f>ROW()</f>
        <v>75</v>
      </c>
    </row>
    <row r="77" spans="2:42" ht="14" customHeight="1">
      <c r="AP77" s="6">
        <f>ROW()</f>
        <v>77</v>
      </c>
    </row>
    <row r="78" spans="2:42" ht="14" customHeight="1">
      <c r="AP78" s="6">
        <f>ROW()</f>
        <v>78</v>
      </c>
    </row>
    <row r="79" spans="2:42" ht="14" customHeight="1">
      <c r="AP79" s="6">
        <f>ROW()</f>
        <v>79</v>
      </c>
    </row>
    <row r="80" spans="2:42" ht="14" customHeight="1">
      <c r="AP80" s="6">
        <f>ROW()</f>
        <v>80</v>
      </c>
    </row>
    <row r="81" spans="42:42" ht="14" customHeight="1">
      <c r="AP81" s="6">
        <f>ROW()</f>
        <v>81</v>
      </c>
    </row>
    <row r="82" spans="42:42" ht="14" customHeight="1">
      <c r="AP82" s="6">
        <f>ROW()</f>
        <v>82</v>
      </c>
    </row>
    <row r="83" spans="42:42" ht="14" customHeight="1">
      <c r="AP83" s="6">
        <f>ROW()</f>
        <v>83</v>
      </c>
    </row>
    <row r="84" spans="42:42" ht="14" customHeight="1">
      <c r="AP84" s="6">
        <f>ROW()</f>
        <v>84</v>
      </c>
    </row>
    <row r="85" spans="42:42" ht="14" customHeight="1">
      <c r="AP85" s="6">
        <f>ROW()</f>
        <v>85</v>
      </c>
    </row>
    <row r="86" spans="42:42" ht="14" customHeight="1">
      <c r="AP86" s="6">
        <f>ROW()</f>
        <v>86</v>
      </c>
    </row>
    <row r="87" spans="42:42" ht="14" customHeight="1">
      <c r="AP87" s="6">
        <f>ROW()</f>
        <v>87</v>
      </c>
    </row>
    <row r="88" spans="42:42" ht="14" customHeight="1">
      <c r="AP88" s="6">
        <f>ROW()</f>
        <v>88</v>
      </c>
    </row>
    <row r="89" spans="42:42" ht="14" customHeight="1">
      <c r="AP89" s="6">
        <f>ROW()</f>
        <v>89</v>
      </c>
    </row>
    <row r="90" spans="42:42" ht="14" customHeight="1">
      <c r="AP90" s="6">
        <f>ROW()</f>
        <v>90</v>
      </c>
    </row>
    <row r="91" spans="42:42" ht="14" customHeight="1">
      <c r="AP91" s="6">
        <f>ROW()</f>
        <v>91</v>
      </c>
    </row>
    <row r="92" spans="42:42" ht="14" customHeight="1">
      <c r="AP92" s="6">
        <f>ROW()</f>
        <v>92</v>
      </c>
    </row>
    <row r="93" spans="42:42" ht="14" customHeight="1">
      <c r="AP93" s="6">
        <f>ROW()</f>
        <v>93</v>
      </c>
    </row>
    <row r="94" spans="42:42" ht="14" customHeight="1">
      <c r="AP94" s="6">
        <f>ROW()</f>
        <v>94</v>
      </c>
    </row>
    <row r="95" spans="42:42" ht="14" customHeight="1">
      <c r="AP95" s="6">
        <f>ROW()</f>
        <v>95</v>
      </c>
    </row>
    <row r="96" spans="42:42" ht="14" customHeight="1">
      <c r="AP96" s="6">
        <f>ROW()</f>
        <v>96</v>
      </c>
    </row>
    <row r="97" spans="42:42" ht="14" customHeight="1">
      <c r="AP97" s="6">
        <f>ROW()</f>
        <v>97</v>
      </c>
    </row>
    <row r="98" spans="42:42" ht="14" customHeight="1">
      <c r="AP98" s="6">
        <f>ROW()</f>
        <v>98</v>
      </c>
    </row>
    <row r="99" spans="42:42" ht="14" customHeight="1">
      <c r="AP99" s="6">
        <f>ROW()</f>
        <v>99</v>
      </c>
    </row>
    <row r="100" spans="42:42" ht="14" customHeight="1">
      <c r="AP100" s="6">
        <f>ROW()</f>
        <v>100</v>
      </c>
    </row>
    <row r="101" spans="42:42" ht="14" customHeight="1">
      <c r="AP101" s="6">
        <f>ROW()</f>
        <v>101</v>
      </c>
    </row>
    <row r="102" spans="42:42" ht="14" customHeight="1">
      <c r="AP102" s="6">
        <f>ROW()</f>
        <v>102</v>
      </c>
    </row>
    <row r="103" spans="42:42" ht="14" customHeight="1">
      <c r="AP103" s="6">
        <f>ROW()</f>
        <v>103</v>
      </c>
    </row>
    <row r="104" spans="42:42" ht="14" customHeight="1">
      <c r="AP104" s="6">
        <f>ROW()</f>
        <v>104</v>
      </c>
    </row>
    <row r="105" spans="42:42" ht="14" customHeight="1">
      <c r="AP105" s="6">
        <f>ROW()</f>
        <v>105</v>
      </c>
    </row>
    <row r="106" spans="42:42" ht="14" customHeight="1">
      <c r="AP106" s="6">
        <f>ROW()</f>
        <v>106</v>
      </c>
    </row>
    <row r="107" spans="42:42" ht="14" customHeight="1">
      <c r="AP107" s="6">
        <f>ROW()</f>
        <v>107</v>
      </c>
    </row>
    <row r="108" spans="42:42" ht="14" customHeight="1">
      <c r="AP108" s="6">
        <f>ROW()</f>
        <v>108</v>
      </c>
    </row>
    <row r="109" spans="42:42" ht="14" customHeight="1">
      <c r="AP109" s="6">
        <f>ROW()</f>
        <v>109</v>
      </c>
    </row>
    <row r="110" spans="42:42" ht="14" customHeight="1">
      <c r="AP110" s="6">
        <f>ROW()</f>
        <v>110</v>
      </c>
    </row>
    <row r="111" spans="42:42" ht="14" customHeight="1">
      <c r="AP111" s="6">
        <f>ROW()</f>
        <v>111</v>
      </c>
    </row>
    <row r="112" spans="42:42" ht="14" customHeight="1">
      <c r="AP112" s="6">
        <f>ROW()</f>
        <v>112</v>
      </c>
    </row>
    <row r="113" spans="42:42" ht="14" customHeight="1">
      <c r="AP113" s="6">
        <f>ROW()</f>
        <v>113</v>
      </c>
    </row>
    <row r="114" spans="42:42" ht="14" customHeight="1">
      <c r="AP114" s="6">
        <f>ROW()</f>
        <v>114</v>
      </c>
    </row>
    <row r="115" spans="42:42" ht="14" customHeight="1">
      <c r="AP115" s="6">
        <f>ROW()</f>
        <v>115</v>
      </c>
    </row>
    <row r="116" spans="42:42" ht="14" customHeight="1">
      <c r="AP116" s="6">
        <f>ROW()</f>
        <v>116</v>
      </c>
    </row>
    <row r="117" spans="42:42" ht="14" customHeight="1">
      <c r="AP117" s="6">
        <f>ROW()</f>
        <v>117</v>
      </c>
    </row>
    <row r="118" spans="42:42" ht="14" customHeight="1">
      <c r="AP118" s="6">
        <f>ROW()</f>
        <v>118</v>
      </c>
    </row>
    <row r="119" spans="42:42" ht="14" customHeight="1">
      <c r="AP119" s="6">
        <f>ROW()</f>
        <v>119</v>
      </c>
    </row>
    <row r="120" spans="42:42" ht="14" customHeight="1">
      <c r="AP120" s="6">
        <f>ROW()</f>
        <v>120</v>
      </c>
    </row>
    <row r="121" spans="42:42" ht="14" customHeight="1">
      <c r="AP121" s="6">
        <f>ROW()</f>
        <v>121</v>
      </c>
    </row>
    <row r="122" spans="42:42" ht="14" customHeight="1">
      <c r="AP122" s="6">
        <f>ROW()</f>
        <v>122</v>
      </c>
    </row>
    <row r="123" spans="42:42" ht="14" customHeight="1">
      <c r="AP123" s="6">
        <f>ROW()</f>
        <v>123</v>
      </c>
    </row>
    <row r="124" spans="42:42" ht="14" customHeight="1">
      <c r="AP124" s="6">
        <f>ROW()</f>
        <v>124</v>
      </c>
    </row>
    <row r="125" spans="42:42" ht="14" customHeight="1">
      <c r="AP125" s="6">
        <f>ROW()</f>
        <v>125</v>
      </c>
    </row>
    <row r="126" spans="42:42" ht="14" customHeight="1">
      <c r="AP126" s="6">
        <f>ROW()</f>
        <v>126</v>
      </c>
    </row>
    <row r="127" spans="42:42" ht="14" customHeight="1">
      <c r="AP127" s="6">
        <f>ROW()</f>
        <v>127</v>
      </c>
    </row>
    <row r="128" spans="42:42" ht="14" customHeight="1">
      <c r="AP128" s="6">
        <f>ROW()</f>
        <v>128</v>
      </c>
    </row>
    <row r="129" spans="42:42" ht="14" customHeight="1">
      <c r="AP129" s="6">
        <f>ROW()</f>
        <v>129</v>
      </c>
    </row>
    <row r="130" spans="42:42" ht="14" customHeight="1">
      <c r="AP130" s="6">
        <f>ROW()</f>
        <v>130</v>
      </c>
    </row>
    <row r="131" spans="42:42" ht="14" customHeight="1">
      <c r="AP131" s="6">
        <f>ROW()</f>
        <v>131</v>
      </c>
    </row>
    <row r="132" spans="42:42" ht="14" customHeight="1">
      <c r="AP132" s="6">
        <f>ROW()</f>
        <v>132</v>
      </c>
    </row>
    <row r="133" spans="42:42" ht="14" customHeight="1">
      <c r="AP133" s="6">
        <f>ROW()</f>
        <v>133</v>
      </c>
    </row>
    <row r="134" spans="42:42" ht="14" customHeight="1">
      <c r="AP134" s="6">
        <f>ROW()</f>
        <v>134</v>
      </c>
    </row>
    <row r="135" spans="42:42" ht="14" customHeight="1">
      <c r="AP135" s="6">
        <f>ROW()</f>
        <v>135</v>
      </c>
    </row>
    <row r="136" spans="42:42" ht="14" customHeight="1">
      <c r="AP136" s="6">
        <f>ROW()</f>
        <v>136</v>
      </c>
    </row>
    <row r="137" spans="42:42" ht="14" customHeight="1">
      <c r="AP137" s="6">
        <f>ROW()</f>
        <v>137</v>
      </c>
    </row>
    <row r="138" spans="42:42" ht="14" customHeight="1">
      <c r="AP138" s="6">
        <f>ROW()</f>
        <v>138</v>
      </c>
    </row>
    <row r="139" spans="42:42" ht="14" customHeight="1">
      <c r="AP139" s="6">
        <f>ROW()</f>
        <v>139</v>
      </c>
    </row>
    <row r="140" spans="42:42" ht="14" customHeight="1">
      <c r="AP140" s="6">
        <f>ROW()</f>
        <v>140</v>
      </c>
    </row>
    <row r="141" spans="42:42" ht="14" customHeight="1">
      <c r="AP141" s="6">
        <f>ROW()</f>
        <v>141</v>
      </c>
    </row>
    <row r="142" spans="42:42" ht="14" customHeight="1">
      <c r="AP142" s="6">
        <f>ROW()</f>
        <v>142</v>
      </c>
    </row>
    <row r="143" spans="42:42" ht="14" customHeight="1">
      <c r="AP143" s="6">
        <f>ROW()</f>
        <v>143</v>
      </c>
    </row>
    <row r="144" spans="42:42" ht="14" customHeight="1">
      <c r="AP144" s="6">
        <f>ROW()</f>
        <v>144</v>
      </c>
    </row>
    <row r="145" spans="42:42" ht="14" customHeight="1">
      <c r="AP145" s="6">
        <f>ROW()</f>
        <v>145</v>
      </c>
    </row>
  </sheetData>
  <mergeCells count="1">
    <mergeCell ref="G49:H51"/>
  </mergeCells>
  <conditionalFormatting sqref="F6">
    <cfRule type="cellIs" dxfId="3" priority="1" stopIfTrue="1" operator="lessThan">
      <formula>$H$1</formula>
    </cfRule>
    <cfRule type="cellIs" dxfId="2" priority="2" stopIfTrue="1" operator="greaterThan">
      <formula>$G$1</formula>
    </cfRule>
  </conditionalFormatting>
  <pageMargins left="0.7" right="0.7" top="0.75" bottom="0.75" header="0.3" footer="0.3"/>
  <pageSetup orientation="portrait" verticalDpi="0"/>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H45"/>
  <sheetViews>
    <sheetView workbookViewId="0"/>
  </sheetViews>
  <sheetFormatPr baseColWidth="10" defaultColWidth="10.1640625" defaultRowHeight="14" customHeight="1" x14ac:dyDescent="0"/>
  <cols>
    <col min="1" max="1" width="2.6640625" customWidth="1"/>
  </cols>
  <sheetData>
    <row r="1" spans="2:34" ht="14" customHeight="1">
      <c r="B1" s="59" t="s">
        <v>784</v>
      </c>
      <c r="L1" s="237">
        <f>Summary!F3</f>
        <v>41674</v>
      </c>
    </row>
    <row r="3" spans="2:34" ht="14" customHeight="1">
      <c r="B3" s="155"/>
      <c r="D3" s="79"/>
      <c r="E3" s="79"/>
      <c r="F3" s="79"/>
      <c r="G3" s="79"/>
      <c r="H3" s="79"/>
      <c r="I3" s="79"/>
    </row>
    <row r="4" spans="2:34" ht="14" customHeight="1">
      <c r="B4" s="155"/>
      <c r="D4" s="79"/>
      <c r="E4" s="79"/>
      <c r="F4" s="79"/>
      <c r="G4" s="79"/>
      <c r="H4" s="79"/>
      <c r="I4" s="79"/>
    </row>
    <row r="5" spans="2:34" s="13" customFormat="1" ht="14" customHeight="1">
      <c r="B5" s="82" t="s">
        <v>782</v>
      </c>
      <c r="H5" s="102" t="str">
        <f>CONCATENATE("Figures are copied from Summary tab, Rows ",Summary!AO200, " and ",Summary!AO222, ".")</f>
        <v>Figures are copied from Summary tab, Rows 200 and 222.</v>
      </c>
      <c r="I5" s="81">
        <f>Summary!Q116</f>
        <v>2015</v>
      </c>
      <c r="J5" s="81">
        <f>Summary!R116</f>
        <v>2016</v>
      </c>
      <c r="K5" s="81">
        <f>Summary!S116</f>
        <v>2017</v>
      </c>
      <c r="L5" s="81">
        <f>Summary!T116</f>
        <v>2018</v>
      </c>
      <c r="M5" s="81">
        <f>Summary!U116</f>
        <v>2019</v>
      </c>
      <c r="N5" s="81">
        <f>Summary!V116</f>
        <v>2020</v>
      </c>
      <c r="O5" s="81">
        <f>Summary!W116</f>
        <v>2021</v>
      </c>
      <c r="P5" s="81">
        <f>Summary!X116</f>
        <v>2022</v>
      </c>
      <c r="Q5" s="81">
        <f>Summary!Y116</f>
        <v>2023</v>
      </c>
      <c r="R5" s="81">
        <f>Summary!Z116</f>
        <v>2024</v>
      </c>
      <c r="S5" s="81">
        <f>Summary!AA116</f>
        <v>2025</v>
      </c>
      <c r="T5" s="81">
        <f>Summary!AB116</f>
        <v>2026</v>
      </c>
      <c r="U5" s="81">
        <f>Summary!AC116</f>
        <v>2027</v>
      </c>
      <c r="V5" s="81">
        <f>Summary!AD116</f>
        <v>2028</v>
      </c>
      <c r="W5" s="81">
        <f>Summary!AE116</f>
        <v>2029</v>
      </c>
      <c r="X5" s="81">
        <f>Summary!AF116</f>
        <v>2030</v>
      </c>
      <c r="Y5" s="81">
        <f>Summary!AG116</f>
        <v>2031</v>
      </c>
      <c r="Z5" s="81">
        <f>Summary!AH116</f>
        <v>2032</v>
      </c>
      <c r="AA5" s="81">
        <f>Summary!AI116</f>
        <v>2033</v>
      </c>
      <c r="AB5" s="81">
        <f>Summary!AJ116</f>
        <v>2034</v>
      </c>
      <c r="AC5" s="81">
        <f>Summary!AK116</f>
        <v>2035</v>
      </c>
      <c r="AD5" s="81">
        <f>Summary!AL116</f>
        <v>2036</v>
      </c>
      <c r="AE5" s="81">
        <f>Summary!AM116</f>
        <v>2037</v>
      </c>
      <c r="AF5" s="81"/>
      <c r="AG5"/>
      <c r="AH5"/>
    </row>
    <row r="6" spans="2:34" s="13" customFormat="1" ht="14" customHeight="1">
      <c r="B6" s="82"/>
      <c r="H6" s="102"/>
      <c r="I6" s="81"/>
      <c r="J6" s="81"/>
      <c r="K6" s="81"/>
      <c r="L6" s="81"/>
      <c r="M6" s="81"/>
      <c r="N6" s="81"/>
      <c r="O6" s="81"/>
      <c r="P6" s="81"/>
      <c r="Q6" s="81"/>
      <c r="R6" s="81"/>
      <c r="S6" s="81"/>
      <c r="T6" s="81"/>
      <c r="U6" s="81"/>
      <c r="V6" s="81"/>
      <c r="W6" s="81"/>
      <c r="X6" s="81"/>
      <c r="Y6" s="81"/>
      <c r="Z6" s="81"/>
      <c r="AA6" s="81"/>
      <c r="AB6" s="81"/>
      <c r="AC6" s="81"/>
      <c r="AD6" s="81"/>
      <c r="AE6" s="81"/>
      <c r="AF6" s="81"/>
      <c r="AG6"/>
      <c r="AH6"/>
    </row>
    <row r="7" spans="2:34" ht="14" customHeight="1">
      <c r="B7" s="8" t="s">
        <v>785</v>
      </c>
      <c r="I7" s="538">
        <f>Summary!Q200</f>
        <v>362.47957012662982</v>
      </c>
      <c r="J7" s="538">
        <f>Summary!R200</f>
        <v>371.00808741064981</v>
      </c>
      <c r="K7" s="538">
        <f>Summary!S200</f>
        <v>379.96176197504525</v>
      </c>
      <c r="L7" s="538">
        <f>Summary!T200</f>
        <v>389.04102238975304</v>
      </c>
      <c r="M7" s="538">
        <f>Summary!U200</f>
        <v>398.34630442333577</v>
      </c>
      <c r="N7" s="538">
        <f>Summary!V200</f>
        <v>407.57805116395417</v>
      </c>
      <c r="O7" s="538">
        <f>Summary!W200</f>
        <v>417.23671314237151</v>
      </c>
      <c r="P7" s="538">
        <f>Summary!X200</f>
        <v>427.12274845702592</v>
      </c>
      <c r="Q7" s="538">
        <f>Summary!Y200</f>
        <v>437.23662290120302</v>
      </c>
      <c r="R7" s="538">
        <f>Summary!Z200</f>
        <v>447.67881009234492</v>
      </c>
      <c r="S7" s="538">
        <f>Summary!AA200</f>
        <v>457.64979160353255</v>
      </c>
      <c r="T7" s="538">
        <f>Summary!AB200</f>
        <v>467.29018354724866</v>
      </c>
      <c r="U7" s="538">
        <f>Summary!AC200</f>
        <v>477.13967704039993</v>
      </c>
      <c r="V7" s="538">
        <f>Summary!AD200</f>
        <v>487.09833606120321</v>
      </c>
      <c r="W7" s="538">
        <f>Summary!AE200</f>
        <v>497.26622619837502</v>
      </c>
      <c r="X7" s="538">
        <f>Summary!AF200</f>
        <v>507.64341465575785</v>
      </c>
      <c r="Y7" s="538">
        <f>Summary!AG200</f>
        <v>518.12997025626726</v>
      </c>
      <c r="Z7" s="538">
        <f>Summary!AH200</f>
        <v>529.02596344519407</v>
      </c>
      <c r="AA7" s="538">
        <f>Summary!AI200</f>
        <v>539.9314662928989</v>
      </c>
      <c r="AB7" s="538">
        <f>Summary!AJ200</f>
        <v>551.34655249693458</v>
      </c>
      <c r="AC7" s="538">
        <f>Summary!AK200</f>
        <v>562.97129738363321</v>
      </c>
      <c r="AD7" s="538">
        <f>Summary!AL200</f>
        <v>574.19104543443405</v>
      </c>
      <c r="AE7" s="538">
        <f>Summary!AM200</f>
        <v>585.90930217458276</v>
      </c>
      <c r="AF7" s="458"/>
    </row>
    <row r="8" spans="2:34" ht="14" customHeight="1">
      <c r="B8" s="91" t="str">
        <f>CONCATENATE("Figures are copied from Summary tab, Row ",Summary!AO200, ".")</f>
        <v>Figures are copied from Summary tab, Row 200.</v>
      </c>
      <c r="I8" s="538"/>
      <c r="J8" s="538"/>
      <c r="K8" s="538"/>
      <c r="L8" s="538"/>
      <c r="M8" s="538"/>
      <c r="N8" s="538"/>
      <c r="O8" s="538"/>
      <c r="P8" s="538"/>
      <c r="Q8" s="538"/>
      <c r="R8" s="538"/>
      <c r="S8" s="538"/>
      <c r="T8" s="538"/>
      <c r="U8" s="538"/>
      <c r="V8" s="538"/>
      <c r="W8" s="538"/>
      <c r="X8" s="538"/>
      <c r="Y8" s="538"/>
      <c r="Z8" s="538"/>
      <c r="AA8" s="538"/>
      <c r="AB8" s="538"/>
      <c r="AC8" s="538"/>
      <c r="AD8" s="538"/>
      <c r="AE8" s="538"/>
      <c r="AF8" s="458"/>
    </row>
    <row r="9" spans="2:34" ht="14" customHeight="1">
      <c r="B9" s="8" t="s">
        <v>783</v>
      </c>
      <c r="I9" s="538">
        <f>Summary!Q222</f>
        <v>2955.5185301205092</v>
      </c>
      <c r="J9" s="538">
        <f>Summary!R222</f>
        <v>2459.8953654523862</v>
      </c>
      <c r="K9" s="538">
        <f>Summary!S222</f>
        <v>2499.9220269896073</v>
      </c>
      <c r="L9" s="538">
        <f>Summary!T222</f>
        <v>2540.0576460879106</v>
      </c>
      <c r="M9" s="538">
        <f>Summary!U222</f>
        <v>2580.9692622740804</v>
      </c>
      <c r="N9" s="538">
        <f>Summary!V222</f>
        <v>2620.7173159439676</v>
      </c>
      <c r="O9" s="538">
        <f>Summary!W222</f>
        <v>2662.5662932463974</v>
      </c>
      <c r="P9" s="538">
        <f>Summary!X222</f>
        <v>2705.2362001490392</v>
      </c>
      <c r="Q9" s="538">
        <f>Summary!Y222</f>
        <v>2748.7525814501573</v>
      </c>
      <c r="R9" s="538">
        <f>Summary!Z222</f>
        <v>2793.7424006705041</v>
      </c>
      <c r="S9" s="538">
        <f>Summary!AA222</f>
        <v>2835.2646461336067</v>
      </c>
      <c r="T9" s="538">
        <f>Summary!AB222</f>
        <v>2874.2803707323396</v>
      </c>
      <c r="U9" s="538">
        <f>Summary!AC222</f>
        <v>2914.1692563676388</v>
      </c>
      <c r="V9" s="538">
        <f>Summary!AD222</f>
        <v>2954.3550149816219</v>
      </c>
      <c r="W9" s="538">
        <f>Summary!AE222</f>
        <v>2995.4421266385652</v>
      </c>
      <c r="X9" s="538">
        <f>Summary!AF222</f>
        <v>3037.4376832143039</v>
      </c>
      <c r="Y9" s="538">
        <f>Summary!AG222</f>
        <v>3079.7383224758978</v>
      </c>
      <c r="Z9" s="538">
        <f>Summary!AH222</f>
        <v>3124.2747447697816</v>
      </c>
      <c r="AA9" s="538">
        <f>Summary!AI222</f>
        <v>3168.6728558737177</v>
      </c>
      <c r="AB9" s="538">
        <f>Summary!AJ222</f>
        <v>3215.8501210458635</v>
      </c>
      <c r="AC9" s="538">
        <f>Summary!AK222</f>
        <v>3264.032656416121</v>
      </c>
      <c r="AD9" s="538">
        <f>Summary!AL222</f>
        <v>3309.6398498469143</v>
      </c>
      <c r="AE9" s="538">
        <f>Summary!AM222</f>
        <v>3357.8721426547127</v>
      </c>
      <c r="AF9" s="458"/>
    </row>
    <row r="10" spans="2:34" ht="14" customHeight="1">
      <c r="B10" s="91" t="str">
        <f>CONCATENATE("Figures are copied from Summary tab, Row ",Summary!AO222, " and reflect any deductions per percentages in Summary tab, Rows ",Summary!AO204, "-",Summary!AO206, ".")</f>
        <v>Figures are copied from Summary tab, Row 222 and reflect any deductions per percentages in Summary tab, Rows 204-206.</v>
      </c>
      <c r="I10" s="50"/>
      <c r="J10" s="50"/>
      <c r="K10" s="50"/>
      <c r="L10" s="50"/>
      <c r="M10" s="50"/>
      <c r="N10" s="50"/>
      <c r="O10" s="50"/>
      <c r="P10" s="50"/>
      <c r="Q10" s="50"/>
    </row>
    <row r="11" spans="2:34" ht="14" customHeight="1">
      <c r="B11" s="8"/>
      <c r="I11" s="50"/>
      <c r="J11" s="50"/>
      <c r="K11" s="50"/>
      <c r="L11" s="50"/>
      <c r="M11" s="50"/>
      <c r="N11" s="50"/>
      <c r="O11" s="50"/>
      <c r="P11" s="50"/>
      <c r="Q11" s="50"/>
    </row>
    <row r="12" spans="2:34" ht="14" customHeight="1">
      <c r="B12" s="563" t="s">
        <v>817</v>
      </c>
      <c r="C12" s="556"/>
      <c r="D12" s="556"/>
      <c r="E12" s="556"/>
      <c r="F12" s="556"/>
      <c r="G12" s="556"/>
      <c r="H12" s="557"/>
      <c r="I12" s="50"/>
      <c r="J12" s="50"/>
      <c r="K12" s="50"/>
      <c r="L12" s="50"/>
      <c r="M12" s="50"/>
      <c r="N12" s="50"/>
      <c r="O12" s="50"/>
      <c r="P12" s="50"/>
      <c r="Q12" s="50"/>
    </row>
    <row r="13" spans="2:34" ht="14" customHeight="1">
      <c r="B13" s="558" t="s">
        <v>812</v>
      </c>
      <c r="C13" s="545"/>
      <c r="D13" s="545"/>
      <c r="E13" s="545"/>
      <c r="F13" s="559">
        <f>Summary!$J$67</f>
        <v>55.405615062708264</v>
      </c>
      <c r="G13" s="545"/>
      <c r="H13" s="548"/>
      <c r="I13" s="50"/>
      <c r="J13" s="50"/>
      <c r="K13" s="50"/>
      <c r="L13" s="50"/>
      <c r="M13" s="50"/>
      <c r="N13" s="50"/>
      <c r="O13" s="50"/>
      <c r="P13" s="50"/>
      <c r="Q13" s="50"/>
    </row>
    <row r="14" spans="2:34" ht="14" customHeight="1">
      <c r="B14" s="558" t="s">
        <v>816</v>
      </c>
      <c r="C14" s="545"/>
      <c r="D14" s="545"/>
      <c r="E14" s="545"/>
      <c r="F14" s="564" t="str">
        <f>IF(Summary!$J$69=1,CONCATENATE("$",Summary!$J$71,""),CONCATENATE("",Summary!$J$75*100,"%"))</f>
        <v>$0</v>
      </c>
      <c r="G14" s="545"/>
      <c r="H14" s="548"/>
      <c r="I14" s="50"/>
      <c r="J14" s="50"/>
      <c r="K14" s="50"/>
      <c r="L14" s="50"/>
      <c r="M14" s="50"/>
      <c r="N14" s="50"/>
      <c r="O14" s="50"/>
      <c r="P14" s="50"/>
      <c r="Q14" s="50"/>
    </row>
    <row r="15" spans="2:34" ht="14" customHeight="1">
      <c r="B15" s="558" t="s">
        <v>813</v>
      </c>
      <c r="C15" s="546"/>
      <c r="D15" s="545"/>
      <c r="E15" s="545"/>
      <c r="F15" s="545" t="str">
        <f>IF(Summary!$J$79="Nominal","No inflation indexing","Carbon tax is indexed to inflation")</f>
        <v>Carbon tax is indexed to inflation</v>
      </c>
      <c r="G15" s="545"/>
      <c r="H15" s="548"/>
      <c r="I15" s="50"/>
      <c r="J15" s="50"/>
      <c r="K15" s="50"/>
      <c r="L15" s="50"/>
      <c r="M15" s="50"/>
      <c r="N15" s="50"/>
      <c r="O15" s="50"/>
      <c r="P15" s="50"/>
      <c r="Q15" s="50"/>
    </row>
    <row r="16" spans="2:34" ht="14" customHeight="1">
      <c r="B16" s="560" t="s">
        <v>815</v>
      </c>
      <c r="C16" s="561"/>
      <c r="D16" s="551"/>
      <c r="E16" s="551"/>
      <c r="F16" s="566">
        <f>Summary!$J$92</f>
        <v>2015</v>
      </c>
      <c r="G16" s="551"/>
      <c r="H16" s="562"/>
      <c r="I16" s="50"/>
      <c r="J16" s="50"/>
      <c r="K16" s="50"/>
      <c r="L16" s="50"/>
      <c r="M16" s="50"/>
      <c r="N16" s="50"/>
      <c r="O16" s="50"/>
      <c r="P16" s="50"/>
      <c r="Q16" s="50"/>
    </row>
    <row r="17" spans="2:17" ht="14" customHeight="1">
      <c r="B17" s="8"/>
      <c r="I17" s="50"/>
      <c r="J17" s="50"/>
      <c r="K17" s="50"/>
      <c r="L17" s="50"/>
      <c r="M17" s="50"/>
      <c r="N17" s="50"/>
      <c r="O17" s="50"/>
      <c r="P17" s="50"/>
      <c r="Q17" s="50"/>
    </row>
    <row r="19" spans="2:17" ht="14" customHeight="1">
      <c r="C19" s="8"/>
      <c r="N19" s="8"/>
    </row>
    <row r="45" spans="2:2" ht="14" customHeight="1">
      <c r="B45" s="8"/>
    </row>
  </sheetData>
  <conditionalFormatting sqref="F14">
    <cfRule type="cellIs" dxfId="1" priority="1" stopIfTrue="1" operator="lessThan">
      <formula>$H$1</formula>
    </cfRule>
    <cfRule type="cellIs" dxfId="0" priority="2" stopIfTrue="1" operator="greaterThan">
      <formula>$G$1</formula>
    </cfRule>
  </conditionalFormatting>
  <pageMargins left="0.7" right="0.7" top="0.75" bottom="0.75" header="0.3" footer="0.3"/>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2"/>
  <sheetViews>
    <sheetView workbookViewId="0"/>
  </sheetViews>
  <sheetFormatPr baseColWidth="10" defaultColWidth="11.6640625" defaultRowHeight="14" customHeight="1" x14ac:dyDescent="0"/>
  <cols>
    <col min="1" max="1" width="2.6640625" customWidth="1"/>
  </cols>
  <sheetData>
    <row r="1" spans="2:10" ht="14" customHeight="1">
      <c r="B1" s="59" t="s">
        <v>639</v>
      </c>
      <c r="I1" s="204" t="s">
        <v>645</v>
      </c>
      <c r="J1" s="237">
        <f>Summary!F3</f>
        <v>41674</v>
      </c>
    </row>
    <row r="4" spans="2:10" ht="14" customHeight="1">
      <c r="B4" s="740" t="s">
        <v>746</v>
      </c>
      <c r="C4" s="811"/>
      <c r="D4" s="811"/>
      <c r="E4" s="811"/>
      <c r="F4" s="811"/>
      <c r="G4" s="811"/>
      <c r="H4" s="811"/>
      <c r="I4" s="811"/>
      <c r="J4" s="811"/>
    </row>
    <row r="5" spans="2:10" ht="14" customHeight="1">
      <c r="B5" s="811"/>
      <c r="C5" s="811"/>
      <c r="D5" s="811"/>
      <c r="E5" s="811"/>
      <c r="F5" s="811"/>
      <c r="G5" s="811"/>
      <c r="H5" s="811"/>
      <c r="I5" s="811"/>
      <c r="J5" s="811"/>
    </row>
    <row r="6" spans="2:10" ht="14" customHeight="1">
      <c r="B6" s="811"/>
      <c r="C6" s="811"/>
      <c r="D6" s="811"/>
      <c r="E6" s="811"/>
      <c r="F6" s="811"/>
      <c r="G6" s="811"/>
      <c r="H6" s="811"/>
      <c r="I6" s="811"/>
      <c r="J6" s="811"/>
    </row>
    <row r="8" spans="2:10" ht="14" customHeight="1">
      <c r="B8" s="480" t="s">
        <v>641</v>
      </c>
      <c r="C8" s="79"/>
      <c r="D8" s="79"/>
      <c r="E8" s="79"/>
      <c r="F8" s="79"/>
      <c r="G8" s="79"/>
      <c r="H8" s="79"/>
      <c r="I8" s="79"/>
      <c r="J8" s="79"/>
    </row>
    <row r="9" spans="2:10" ht="14" customHeight="1">
      <c r="B9" s="79"/>
      <c r="C9" s="79"/>
      <c r="D9" s="79"/>
      <c r="E9" s="79"/>
      <c r="F9" s="79"/>
      <c r="G9" s="79"/>
      <c r="H9" s="79"/>
      <c r="I9" s="79"/>
      <c r="J9" s="79"/>
    </row>
    <row r="10" spans="2:10" ht="14" customHeight="1">
      <c r="B10" s="740" t="s">
        <v>642</v>
      </c>
      <c r="C10" s="811"/>
      <c r="D10" s="811"/>
      <c r="E10" s="811"/>
      <c r="F10" s="811"/>
      <c r="G10" s="811"/>
      <c r="H10" s="811"/>
      <c r="I10" s="811"/>
      <c r="J10" s="811"/>
    </row>
    <row r="11" spans="2:10" ht="14" customHeight="1">
      <c r="B11" s="811"/>
      <c r="C11" s="811"/>
      <c r="D11" s="811"/>
      <c r="E11" s="811"/>
      <c r="F11" s="811"/>
      <c r="G11" s="811"/>
      <c r="H11" s="811"/>
      <c r="I11" s="811"/>
      <c r="J11" s="811"/>
    </row>
    <row r="12" spans="2:10" ht="14" customHeight="1">
      <c r="B12" s="811"/>
      <c r="C12" s="811"/>
      <c r="D12" s="811"/>
      <c r="E12" s="811"/>
      <c r="F12" s="811"/>
      <c r="G12" s="811"/>
      <c r="H12" s="811"/>
      <c r="I12" s="811"/>
      <c r="J12" s="811"/>
    </row>
    <row r="14" spans="2:10" ht="14" customHeight="1">
      <c r="B14" s="740" t="s">
        <v>643</v>
      </c>
      <c r="C14" s="811"/>
      <c r="D14" s="811"/>
      <c r="E14" s="811"/>
      <c r="F14" s="811"/>
      <c r="G14" s="811"/>
      <c r="H14" s="811"/>
      <c r="I14" s="811"/>
      <c r="J14" s="811"/>
    </row>
    <row r="15" spans="2:10" ht="14" customHeight="1">
      <c r="B15" s="811"/>
      <c r="C15" s="811"/>
      <c r="D15" s="811"/>
      <c r="E15" s="811"/>
      <c r="F15" s="811"/>
      <c r="G15" s="811"/>
      <c r="H15" s="811"/>
      <c r="I15" s="811"/>
      <c r="J15" s="811"/>
    </row>
    <row r="16" spans="2:10" ht="14" customHeight="1">
      <c r="B16" s="811"/>
      <c r="C16" s="811"/>
      <c r="D16" s="811"/>
      <c r="E16" s="811"/>
      <c r="F16" s="811"/>
      <c r="G16" s="811"/>
      <c r="H16" s="811"/>
      <c r="I16" s="811"/>
      <c r="J16" s="811"/>
    </row>
    <row r="17" spans="2:10" ht="14" customHeight="1">
      <c r="B17" s="811"/>
      <c r="C17" s="811"/>
      <c r="D17" s="811"/>
      <c r="E17" s="811"/>
      <c r="F17" s="811"/>
      <c r="G17" s="811"/>
      <c r="H17" s="811"/>
      <c r="I17" s="811"/>
      <c r="J17" s="811"/>
    </row>
    <row r="18" spans="2:10" ht="14" customHeight="1">
      <c r="B18" s="811"/>
      <c r="C18" s="811"/>
      <c r="D18" s="811"/>
      <c r="E18" s="811"/>
      <c r="F18" s="811"/>
      <c r="G18" s="811"/>
      <c r="H18" s="811"/>
      <c r="I18" s="811"/>
      <c r="J18" s="811"/>
    </row>
    <row r="19" spans="2:10" ht="14" customHeight="1">
      <c r="B19" s="811"/>
      <c r="C19" s="811"/>
      <c r="D19" s="811"/>
      <c r="E19" s="811"/>
      <c r="F19" s="811"/>
      <c r="G19" s="811"/>
      <c r="H19" s="811"/>
      <c r="I19" s="811"/>
      <c r="J19" s="811"/>
    </row>
    <row r="21" spans="2:10" ht="14" customHeight="1">
      <c r="B21" s="740" t="s">
        <v>650</v>
      </c>
      <c r="C21" s="740"/>
      <c r="D21" s="740"/>
      <c r="E21" s="740"/>
      <c r="F21" s="740"/>
      <c r="G21" s="740"/>
      <c r="H21" s="740"/>
      <c r="I21" s="740"/>
      <c r="J21" s="740"/>
    </row>
    <row r="22" spans="2:10" ht="14" customHeight="1">
      <c r="B22" s="740"/>
      <c r="C22" s="740"/>
      <c r="D22" s="740"/>
      <c r="E22" s="740"/>
      <c r="F22" s="740"/>
      <c r="G22" s="740"/>
      <c r="H22" s="740"/>
      <c r="I22" s="740"/>
      <c r="J22" s="740"/>
    </row>
    <row r="23" spans="2:10" ht="14" customHeight="1">
      <c r="B23" s="740"/>
      <c r="C23" s="740"/>
      <c r="D23" s="740"/>
      <c r="E23" s="740"/>
      <c r="F23" s="740"/>
      <c r="G23" s="740"/>
      <c r="H23" s="740"/>
      <c r="I23" s="740"/>
      <c r="J23" s="740"/>
    </row>
    <row r="24" spans="2:10" ht="14" customHeight="1">
      <c r="B24" s="740"/>
      <c r="C24" s="740"/>
      <c r="D24" s="740"/>
      <c r="E24" s="740"/>
      <c r="F24" s="740"/>
      <c r="G24" s="740"/>
      <c r="H24" s="740"/>
      <c r="I24" s="740"/>
      <c r="J24" s="740"/>
    </row>
    <row r="26" spans="2:10" ht="14" customHeight="1">
      <c r="B26" s="740" t="s">
        <v>644</v>
      </c>
      <c r="C26" s="811"/>
      <c r="D26" s="811"/>
      <c r="E26" s="811"/>
      <c r="F26" s="811"/>
      <c r="G26" s="811"/>
      <c r="H26" s="811"/>
      <c r="I26" s="811"/>
      <c r="J26" s="811"/>
    </row>
    <row r="27" spans="2:10" ht="14" customHeight="1">
      <c r="B27" s="811"/>
      <c r="C27" s="811"/>
      <c r="D27" s="811"/>
      <c r="E27" s="811"/>
      <c r="F27" s="811"/>
      <c r="G27" s="811"/>
      <c r="H27" s="811"/>
      <c r="I27" s="811"/>
      <c r="J27" s="811"/>
    </row>
    <row r="28" spans="2:10" ht="14" customHeight="1">
      <c r="B28" s="811"/>
      <c r="C28" s="811"/>
      <c r="D28" s="811"/>
      <c r="E28" s="811"/>
      <c r="F28" s="811"/>
      <c r="G28" s="811"/>
      <c r="H28" s="811"/>
      <c r="I28" s="811"/>
      <c r="J28" s="811"/>
    </row>
    <row r="30" spans="2:10" ht="14" customHeight="1">
      <c r="B30" s="740" t="s">
        <v>651</v>
      </c>
      <c r="C30" s="811"/>
      <c r="D30" s="811"/>
      <c r="E30" s="811"/>
      <c r="F30" s="811"/>
      <c r="G30" s="811"/>
      <c r="H30" s="811"/>
      <c r="I30" s="811"/>
      <c r="J30" s="811"/>
    </row>
    <row r="31" spans="2:10" ht="14" customHeight="1">
      <c r="B31" s="811"/>
      <c r="C31" s="811"/>
      <c r="D31" s="811"/>
      <c r="E31" s="811"/>
      <c r="F31" s="811"/>
      <c r="G31" s="811"/>
      <c r="H31" s="811"/>
      <c r="I31" s="811"/>
      <c r="J31" s="811"/>
    </row>
    <row r="32" spans="2:10" ht="14" customHeight="1">
      <c r="B32" s="811"/>
      <c r="C32" s="811"/>
      <c r="D32" s="811"/>
      <c r="E32" s="811"/>
      <c r="F32" s="811"/>
      <c r="G32" s="811"/>
      <c r="H32" s="811"/>
      <c r="I32" s="811"/>
      <c r="J32" s="811"/>
    </row>
    <row r="33" spans="2:10" ht="14" customHeight="1">
      <c r="B33" s="811"/>
      <c r="C33" s="811"/>
      <c r="D33" s="811"/>
      <c r="E33" s="811"/>
      <c r="F33" s="811"/>
      <c r="G33" s="811"/>
      <c r="H33" s="811"/>
      <c r="I33" s="811"/>
      <c r="J33" s="811"/>
    </row>
    <row r="34" spans="2:10" ht="14" customHeight="1">
      <c r="B34" s="811"/>
      <c r="C34" s="811"/>
      <c r="D34" s="811"/>
      <c r="E34" s="811"/>
      <c r="F34" s="811"/>
      <c r="G34" s="811"/>
      <c r="H34" s="811"/>
      <c r="I34" s="811"/>
      <c r="J34" s="811"/>
    </row>
    <row r="35" spans="2:10" ht="14" customHeight="1">
      <c r="B35" s="811"/>
      <c r="C35" s="811"/>
      <c r="D35" s="811"/>
      <c r="E35" s="811"/>
      <c r="F35" s="811"/>
      <c r="G35" s="811"/>
      <c r="H35" s="811"/>
      <c r="I35" s="811"/>
      <c r="J35" s="811"/>
    </row>
    <row r="37" spans="2:10" ht="14" customHeight="1">
      <c r="B37" s="740" t="s">
        <v>652</v>
      </c>
      <c r="C37" s="811"/>
      <c r="D37" s="811"/>
      <c r="E37" s="811"/>
      <c r="F37" s="811"/>
      <c r="G37" s="811"/>
      <c r="H37" s="811"/>
      <c r="I37" s="811"/>
      <c r="J37" s="811"/>
    </row>
    <row r="38" spans="2:10" ht="14" customHeight="1">
      <c r="B38" s="811"/>
      <c r="C38" s="811"/>
      <c r="D38" s="811"/>
      <c r="E38" s="811"/>
      <c r="F38" s="811"/>
      <c r="G38" s="811"/>
      <c r="H38" s="811"/>
      <c r="I38" s="811"/>
      <c r="J38" s="811"/>
    </row>
    <row r="39" spans="2:10" ht="14" customHeight="1">
      <c r="B39" s="811"/>
      <c r="C39" s="811"/>
      <c r="D39" s="811"/>
      <c r="E39" s="811"/>
      <c r="F39" s="811"/>
      <c r="G39" s="811"/>
      <c r="H39" s="811"/>
      <c r="I39" s="811"/>
      <c r="J39" s="811"/>
    </row>
    <row r="40" spans="2:10" ht="14" customHeight="1">
      <c r="B40" s="811"/>
      <c r="C40" s="811"/>
      <c r="D40" s="811"/>
      <c r="E40" s="811"/>
      <c r="F40" s="811"/>
      <c r="G40" s="811"/>
      <c r="H40" s="811"/>
      <c r="I40" s="811"/>
      <c r="J40" s="811"/>
    </row>
    <row r="42" spans="2:10" ht="14" customHeight="1">
      <c r="B42" s="32" t="s">
        <v>765</v>
      </c>
    </row>
  </sheetData>
  <mergeCells count="7">
    <mergeCell ref="B37:J40"/>
    <mergeCell ref="B4:J6"/>
    <mergeCell ref="B10:J12"/>
    <mergeCell ref="B14:J19"/>
    <mergeCell ref="B26:J28"/>
    <mergeCell ref="B30:J35"/>
    <mergeCell ref="B21:J24"/>
  </mergeCells>
  <pageMargins left="0.7" right="0.7" top="0.75" bottom="0.75" header="0.3" footer="0.3"/>
  <pageSetup orientation="portrait" verticalDpi="0"/>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P245"/>
  <sheetViews>
    <sheetView workbookViewId="0"/>
  </sheetViews>
  <sheetFormatPr baseColWidth="10" defaultColWidth="9.1640625" defaultRowHeight="14" customHeight="1" x14ac:dyDescent="0"/>
  <cols>
    <col min="1" max="1" width="2.6640625" customWidth="1"/>
    <col min="2" max="8" width="9.1640625" customWidth="1"/>
    <col min="9" max="9" width="9.33203125" customWidth="1"/>
    <col min="10" max="10" width="10" customWidth="1"/>
    <col min="11" max="11" width="9.33203125" customWidth="1"/>
    <col min="12" max="14" width="9.1640625" customWidth="1"/>
    <col min="15" max="15" width="10" customWidth="1"/>
    <col min="16" max="20" width="9.1640625" customWidth="1"/>
    <col min="42" max="42" width="2.1640625" customWidth="1"/>
  </cols>
  <sheetData>
    <row r="1" spans="2:42" ht="14" customHeight="1">
      <c r="B1" s="59" t="s">
        <v>107</v>
      </c>
      <c r="P1" s="468">
        <f>Summary!F3</f>
        <v>41674</v>
      </c>
      <c r="AP1" s="6">
        <f>ROW()</f>
        <v>1</v>
      </c>
    </row>
    <row r="2" spans="2:42" ht="14" customHeight="1" thickBot="1">
      <c r="B2" s="1"/>
      <c r="P2" s="27"/>
      <c r="AP2" s="6">
        <f>ROW()</f>
        <v>2</v>
      </c>
    </row>
    <row r="3" spans="2:42" ht="14" customHeight="1">
      <c r="B3" s="815" t="s">
        <v>169</v>
      </c>
      <c r="C3" s="738"/>
      <c r="D3" s="738"/>
      <c r="E3" s="738"/>
      <c r="F3" s="738"/>
      <c r="G3" s="687" t="s">
        <v>855</v>
      </c>
      <c r="H3" s="686" t="s">
        <v>920</v>
      </c>
      <c r="I3" s="624"/>
      <c r="J3" s="3"/>
      <c r="K3" s="356" t="str">
        <f>CONCATENATE("Tax Inputs (copied from 'Summary' Tab, Rows ",Summary!AO67,"-",Summary!AO79,")")</f>
        <v>Tax Inputs (copied from 'Summary' Tab, Rows 67-79)</v>
      </c>
      <c r="L3" s="357"/>
      <c r="M3" s="357"/>
      <c r="N3" s="357"/>
      <c r="O3" s="358"/>
      <c r="P3" s="27"/>
      <c r="Q3" s="869" t="str">
        <f>CONCATENATE("Tax is from 'Baucus' tab, Cell E",Baucus!M50,", converted from tonnes to tons.")</f>
        <v>Tax is from 'Baucus' tab, Cell E50, converted from tonnes to tons.</v>
      </c>
      <c r="R3" s="870"/>
      <c r="AP3" s="6">
        <f>ROW()</f>
        <v>3</v>
      </c>
    </row>
    <row r="4" spans="2:42" ht="14" customHeight="1">
      <c r="B4" s="738"/>
      <c r="C4" s="738"/>
      <c r="D4" s="738"/>
      <c r="E4" s="738"/>
      <c r="F4" s="738"/>
      <c r="G4" s="863" t="s">
        <v>921</v>
      </c>
      <c r="H4" s="864"/>
      <c r="I4" s="865"/>
      <c r="J4" s="623"/>
      <c r="K4" s="359" t="s">
        <v>493</v>
      </c>
      <c r="L4" s="71"/>
      <c r="M4" s="71"/>
      <c r="N4" s="71"/>
      <c r="O4" s="729">
        <f>Baucus!E50/Parameters!H14*Parameters!H15</f>
        <v>55.405615062708264</v>
      </c>
      <c r="P4" s="27"/>
      <c r="Q4" s="871"/>
      <c r="R4" s="872"/>
      <c r="AP4" s="6">
        <f>ROW()</f>
        <v>4</v>
      </c>
    </row>
    <row r="5" spans="2:42" ht="14" customHeight="1">
      <c r="B5" s="738"/>
      <c r="C5" s="738"/>
      <c r="D5" s="738"/>
      <c r="E5" s="738"/>
      <c r="F5" s="738"/>
      <c r="G5" s="866"/>
      <c r="H5" s="867"/>
      <c r="I5" s="868"/>
      <c r="J5" s="623"/>
      <c r="K5" s="359" t="s">
        <v>494</v>
      </c>
      <c r="L5" s="71"/>
      <c r="M5" s="71"/>
      <c r="N5" s="71"/>
      <c r="O5" s="361" t="str">
        <f>IF(Summary!J69=1,"By Constant Amount","By Constant Percent")</f>
        <v>By Constant Amount</v>
      </c>
      <c r="P5" s="27"/>
      <c r="Q5" s="873"/>
      <c r="R5" s="874"/>
      <c r="AP5" s="6">
        <f>ROW()</f>
        <v>5</v>
      </c>
    </row>
    <row r="6" spans="2:42" ht="14" customHeight="1">
      <c r="B6" s="1"/>
      <c r="H6" s="3"/>
      <c r="I6" s="3"/>
      <c r="K6" s="359" t="s">
        <v>495</v>
      </c>
      <c r="L6" s="71"/>
      <c r="M6" s="71"/>
      <c r="O6" s="360" t="str">
        <f>IF(Summary!$J$69=1,CONCATENATE("$",Summary!$J$71,""),CONCATENATE("",Summary!$J$75*100,"%"))</f>
        <v>$0</v>
      </c>
      <c r="P6" s="27"/>
      <c r="AP6" s="6">
        <f>ROW()</f>
        <v>6</v>
      </c>
    </row>
    <row r="7" spans="2:42" ht="14" customHeight="1" thickBot="1">
      <c r="B7" s="13" t="str">
        <f>CONCATENATE("Note: This worksheet is pre-formatted to print to four pages. Print area extends to ",AI13, ".")</f>
        <v>Note: This worksheet is pre-formatted to print to four pages. Print area extends to 2033.</v>
      </c>
      <c r="H7" s="3"/>
      <c r="I7" s="127"/>
      <c r="K7" s="362" t="s">
        <v>496</v>
      </c>
      <c r="L7" s="363"/>
      <c r="M7" s="363"/>
      <c r="N7" s="363"/>
      <c r="O7" s="364" t="str">
        <f>Summary!J79</f>
        <v>Real</v>
      </c>
      <c r="P7" s="27"/>
      <c r="AP7" s="6">
        <f>ROW()</f>
        <v>7</v>
      </c>
    </row>
    <row r="8" spans="2:42" ht="14" customHeight="1">
      <c r="B8" s="13"/>
      <c r="H8" s="3"/>
      <c r="I8" s="127"/>
      <c r="J8" s="127"/>
      <c r="P8" s="27"/>
      <c r="S8" s="12"/>
      <c r="T8" s="12"/>
      <c r="U8" s="12"/>
      <c r="V8" s="12"/>
      <c r="W8" s="12"/>
      <c r="X8" s="12"/>
      <c r="Y8" s="12"/>
      <c r="Z8" s="12"/>
      <c r="AA8" s="12"/>
      <c r="AB8" s="12"/>
      <c r="AC8" s="12"/>
      <c r="AD8" s="12"/>
      <c r="AE8" s="12"/>
      <c r="AF8" s="12"/>
      <c r="AG8" s="12"/>
      <c r="AH8" s="12"/>
      <c r="AI8" s="12"/>
      <c r="AJ8" s="12"/>
      <c r="AK8" s="12"/>
      <c r="AL8" s="12"/>
      <c r="AM8" s="12"/>
      <c r="AP8" s="6">
        <f>ROW()</f>
        <v>8</v>
      </c>
    </row>
    <row r="9" spans="2:42" ht="14" customHeight="1">
      <c r="B9" s="826" t="s">
        <v>612</v>
      </c>
      <c r="C9" s="768"/>
      <c r="D9" s="768"/>
      <c r="E9" s="768"/>
      <c r="F9" s="768"/>
      <c r="G9" s="768"/>
      <c r="H9" s="768"/>
      <c r="I9" s="799" t="s">
        <v>185</v>
      </c>
      <c r="J9" s="799" t="s">
        <v>185</v>
      </c>
      <c r="K9" s="799" t="s">
        <v>185</v>
      </c>
      <c r="L9" s="799" t="s">
        <v>185</v>
      </c>
      <c r="M9" s="799" t="s">
        <v>185</v>
      </c>
      <c r="N9" s="799" t="s">
        <v>185</v>
      </c>
      <c r="O9" s="799" t="s">
        <v>185</v>
      </c>
      <c r="P9" s="799" t="s">
        <v>513</v>
      </c>
      <c r="Q9" s="845" t="s">
        <v>88</v>
      </c>
      <c r="S9" s="12"/>
      <c r="T9" s="12"/>
      <c r="U9" s="12"/>
      <c r="V9" s="12"/>
      <c r="W9" s="12"/>
      <c r="X9" s="12"/>
      <c r="Y9" s="12"/>
      <c r="Z9" s="12"/>
      <c r="AA9" s="12"/>
      <c r="AB9" s="12"/>
      <c r="AC9" s="12"/>
      <c r="AD9" s="12"/>
      <c r="AE9" s="12"/>
      <c r="AF9" s="12"/>
      <c r="AG9" s="12"/>
      <c r="AH9" s="12"/>
      <c r="AI9" s="12"/>
      <c r="AJ9" s="12"/>
      <c r="AK9" s="12"/>
      <c r="AL9" s="12"/>
      <c r="AM9" s="12"/>
      <c r="AP9" s="6">
        <f>ROW()</f>
        <v>9</v>
      </c>
    </row>
    <row r="10" spans="2:42" ht="14" customHeight="1">
      <c r="B10" s="768"/>
      <c r="C10" s="768"/>
      <c r="D10" s="768"/>
      <c r="E10" s="768"/>
      <c r="F10" s="768"/>
      <c r="G10" s="768"/>
      <c r="H10" s="768"/>
      <c r="I10" s="827"/>
      <c r="J10" s="827"/>
      <c r="K10" s="827"/>
      <c r="L10" s="827"/>
      <c r="M10" s="827"/>
      <c r="N10" s="827"/>
      <c r="O10" s="827"/>
      <c r="P10" s="827"/>
      <c r="Q10" s="846"/>
      <c r="S10" s="12"/>
      <c r="T10" s="12"/>
      <c r="U10" s="12"/>
      <c r="V10" s="12"/>
      <c r="W10" s="12"/>
      <c r="X10" s="12"/>
      <c r="Y10" s="12"/>
      <c r="Z10" s="12"/>
      <c r="AA10" s="12"/>
      <c r="AB10" s="12"/>
      <c r="AC10" s="12"/>
      <c r="AD10" s="12"/>
      <c r="AE10" s="12"/>
      <c r="AF10" s="12"/>
      <c r="AG10" s="12"/>
      <c r="AH10" s="12"/>
      <c r="AI10" s="12"/>
      <c r="AJ10" s="12"/>
      <c r="AK10" s="12"/>
      <c r="AL10" s="12"/>
      <c r="AM10" s="12"/>
      <c r="AP10" s="6">
        <f>ROW()</f>
        <v>10</v>
      </c>
    </row>
    <row r="11" spans="2:42" ht="14" customHeight="1">
      <c r="I11" s="827"/>
      <c r="J11" s="827"/>
      <c r="K11" s="827"/>
      <c r="L11" s="827"/>
      <c r="M11" s="827"/>
      <c r="N11" s="827"/>
      <c r="O11" s="827"/>
      <c r="P11" s="827"/>
      <c r="Q11" s="846"/>
      <c r="S11" s="12"/>
      <c r="T11" s="12"/>
      <c r="U11" s="12"/>
      <c r="V11" s="12"/>
      <c r="W11" s="12"/>
      <c r="X11" s="12"/>
      <c r="Y11" s="12"/>
      <c r="Z11" s="12"/>
      <c r="AA11" s="12"/>
      <c r="AB11" s="12"/>
      <c r="AC11" s="12"/>
      <c r="AD11" s="12"/>
      <c r="AE11" s="12"/>
      <c r="AF11" s="12"/>
      <c r="AG11" s="12"/>
      <c r="AH11" s="12"/>
      <c r="AI11" s="12"/>
      <c r="AJ11" s="12"/>
      <c r="AK11" s="12"/>
      <c r="AL11" s="12"/>
      <c r="AM11" s="12"/>
      <c r="AP11" s="6">
        <f>ROW()</f>
        <v>11</v>
      </c>
    </row>
    <row r="12" spans="2:42" ht="14" customHeight="1">
      <c r="B12" s="54" t="s">
        <v>611</v>
      </c>
      <c r="H12" s="53"/>
      <c r="I12" s="827"/>
      <c r="J12" s="827"/>
      <c r="K12" s="827"/>
      <c r="L12" s="827"/>
      <c r="M12" s="827"/>
      <c r="N12" s="827"/>
      <c r="O12" s="827"/>
      <c r="P12" s="827"/>
      <c r="Q12" s="847"/>
      <c r="S12" s="12"/>
      <c r="T12" s="12"/>
      <c r="U12" s="12"/>
      <c r="V12" s="12"/>
      <c r="W12" s="12"/>
      <c r="X12" s="12"/>
      <c r="Y12" s="12"/>
      <c r="Z12" s="12"/>
      <c r="AA12" s="12"/>
      <c r="AB12" s="12"/>
      <c r="AC12" s="12"/>
      <c r="AD12" s="12"/>
      <c r="AE12" s="12"/>
      <c r="AF12" s="12"/>
      <c r="AG12" s="12"/>
      <c r="AH12" s="12"/>
      <c r="AI12" s="12"/>
      <c r="AJ12" s="12"/>
      <c r="AK12" s="12"/>
      <c r="AL12" s="12"/>
      <c r="AM12" s="12"/>
      <c r="AP12" s="6">
        <f>ROW()</f>
        <v>12</v>
      </c>
    </row>
    <row r="13" spans="2:42" ht="14" customHeight="1">
      <c r="B13" s="60" t="s">
        <v>610</v>
      </c>
      <c r="I13" s="132">
        <f>Summary!I116</f>
        <v>2005</v>
      </c>
      <c r="J13" s="132">
        <f>Summary!J116</f>
        <v>2006</v>
      </c>
      <c r="K13" s="132">
        <f>Summary!K116</f>
        <v>2007</v>
      </c>
      <c r="L13" s="132">
        <f>Summary!L116</f>
        <v>2008</v>
      </c>
      <c r="M13" s="132">
        <f>Summary!M116</f>
        <v>2009</v>
      </c>
      <c r="N13" s="132">
        <f>Summary!N116</f>
        <v>2010</v>
      </c>
      <c r="O13" s="132">
        <f>Summary!O116</f>
        <v>2011</v>
      </c>
      <c r="P13" s="132">
        <f>Summary!P116</f>
        <v>2012</v>
      </c>
      <c r="Q13" s="108">
        <f>Summary!Q116</f>
        <v>2015</v>
      </c>
      <c r="R13" s="12">
        <f t="shared" ref="R13:AM13" si="0">Q13+1</f>
        <v>2016</v>
      </c>
      <c r="S13" s="12">
        <f t="shared" si="0"/>
        <v>2017</v>
      </c>
      <c r="T13" s="12">
        <f t="shared" si="0"/>
        <v>2018</v>
      </c>
      <c r="U13" s="12">
        <f t="shared" si="0"/>
        <v>2019</v>
      </c>
      <c r="V13" s="12">
        <f t="shared" si="0"/>
        <v>2020</v>
      </c>
      <c r="W13" s="12">
        <f t="shared" si="0"/>
        <v>2021</v>
      </c>
      <c r="X13" s="12">
        <f t="shared" si="0"/>
        <v>2022</v>
      </c>
      <c r="Y13" s="12">
        <f t="shared" si="0"/>
        <v>2023</v>
      </c>
      <c r="Z13" s="12">
        <f t="shared" si="0"/>
        <v>2024</v>
      </c>
      <c r="AA13" s="12">
        <f t="shared" si="0"/>
        <v>2025</v>
      </c>
      <c r="AB13" s="12">
        <f t="shared" si="0"/>
        <v>2026</v>
      </c>
      <c r="AC13" s="12">
        <f t="shared" si="0"/>
        <v>2027</v>
      </c>
      <c r="AD13" s="12">
        <f t="shared" si="0"/>
        <v>2028</v>
      </c>
      <c r="AE13" s="12">
        <f t="shared" si="0"/>
        <v>2029</v>
      </c>
      <c r="AF13" s="12">
        <f t="shared" si="0"/>
        <v>2030</v>
      </c>
      <c r="AG13" s="12">
        <f t="shared" si="0"/>
        <v>2031</v>
      </c>
      <c r="AH13" s="12">
        <f t="shared" si="0"/>
        <v>2032</v>
      </c>
      <c r="AI13" s="12">
        <f t="shared" si="0"/>
        <v>2033</v>
      </c>
      <c r="AJ13" s="12">
        <f t="shared" si="0"/>
        <v>2034</v>
      </c>
      <c r="AK13" s="12">
        <f t="shared" si="0"/>
        <v>2035</v>
      </c>
      <c r="AL13" s="12">
        <f t="shared" si="0"/>
        <v>2036</v>
      </c>
      <c r="AM13" s="12">
        <f t="shared" si="0"/>
        <v>2037</v>
      </c>
      <c r="AP13" s="6">
        <f>ROW()</f>
        <v>13</v>
      </c>
    </row>
    <row r="14" spans="2:42" ht="14" customHeight="1">
      <c r="B14" s="91"/>
      <c r="H14" s="51"/>
      <c r="I14" s="51"/>
      <c r="J14" s="53"/>
      <c r="K14" s="12"/>
      <c r="L14" s="12"/>
      <c r="M14" s="162"/>
      <c r="N14" s="162"/>
      <c r="O14" s="162"/>
      <c r="P14" s="281"/>
      <c r="Q14" s="52"/>
      <c r="T14" s="12"/>
      <c r="U14" s="12"/>
      <c r="V14" s="12"/>
      <c r="W14" s="12"/>
      <c r="X14" s="12"/>
      <c r="Y14" s="12"/>
      <c r="Z14" s="12"/>
      <c r="AA14" s="12"/>
      <c r="AB14" s="12"/>
      <c r="AC14" s="12"/>
      <c r="AD14" s="12"/>
      <c r="AE14" s="12"/>
      <c r="AF14" s="12"/>
      <c r="AG14" s="12"/>
      <c r="AH14" s="12"/>
      <c r="AI14" s="12"/>
      <c r="AJ14" s="12"/>
      <c r="AK14" s="12"/>
      <c r="AL14" s="12"/>
      <c r="AM14" s="12"/>
      <c r="AP14" s="6">
        <f>ROW()</f>
        <v>14</v>
      </c>
    </row>
    <row r="15" spans="2:42" ht="14" customHeight="1">
      <c r="B15" s="32" t="s">
        <v>221</v>
      </c>
      <c r="F15" s="126"/>
      <c r="G15" s="123"/>
      <c r="H15" s="123"/>
      <c r="I15" s="123"/>
      <c r="J15" s="123"/>
      <c r="K15" s="325" t="str">
        <f>CONCATENATE("This and next two rows are derived in 'Summary' tab, Rows ",Summary!AO94, "-",Summary!AO97, ".")</f>
        <v>This and next two rows are derived in 'Summary' tab, Rows 94-97.</v>
      </c>
      <c r="M15">
        <f>Summary!L94</f>
        <v>0</v>
      </c>
      <c r="N15">
        <f>Summary!M94</f>
        <v>0</v>
      </c>
      <c r="O15">
        <f>Summary!O94</f>
        <v>0</v>
      </c>
      <c r="P15" s="27">
        <f>Summary!P94</f>
        <v>0</v>
      </c>
      <c r="Q15">
        <f>Summary!Q94</f>
        <v>1</v>
      </c>
      <c r="R15">
        <f>Summary!R94</f>
        <v>2</v>
      </c>
      <c r="S15">
        <f>Summary!S94</f>
        <v>3</v>
      </c>
      <c r="T15">
        <f>Summary!T94</f>
        <v>4</v>
      </c>
      <c r="U15">
        <f>Summary!U94</f>
        <v>5</v>
      </c>
      <c r="V15">
        <f>Summary!V94</f>
        <v>6</v>
      </c>
      <c r="W15">
        <f>Summary!W94</f>
        <v>7</v>
      </c>
      <c r="X15">
        <f>Summary!X94</f>
        <v>8</v>
      </c>
      <c r="Y15">
        <f>Summary!Y94</f>
        <v>9</v>
      </c>
      <c r="Z15">
        <f>Summary!Z94</f>
        <v>10</v>
      </c>
      <c r="AA15">
        <f>Summary!AA94</f>
        <v>11</v>
      </c>
      <c r="AB15">
        <f>Summary!AB94</f>
        <v>12</v>
      </c>
      <c r="AC15">
        <f>Summary!AC94</f>
        <v>13</v>
      </c>
      <c r="AD15">
        <f>Summary!AD94</f>
        <v>14</v>
      </c>
      <c r="AE15">
        <f>Summary!AE94</f>
        <v>15</v>
      </c>
      <c r="AF15">
        <f>Summary!AF94</f>
        <v>16</v>
      </c>
      <c r="AG15">
        <f>Summary!AG94</f>
        <v>17</v>
      </c>
      <c r="AH15">
        <f>Summary!AH94</f>
        <v>18</v>
      </c>
      <c r="AI15">
        <f>Summary!AI94</f>
        <v>19</v>
      </c>
      <c r="AJ15">
        <f>Summary!AJ94</f>
        <v>20</v>
      </c>
      <c r="AK15">
        <f>Summary!AK94</f>
        <v>21</v>
      </c>
      <c r="AL15">
        <f>Summary!AL94</f>
        <v>22</v>
      </c>
      <c r="AM15">
        <f>Summary!AM94</f>
        <v>23</v>
      </c>
      <c r="AP15" s="6">
        <f>ROW()</f>
        <v>15</v>
      </c>
    </row>
    <row r="16" spans="2:42" s="62" customFormat="1" ht="14" customHeight="1">
      <c r="B16" s="54" t="s">
        <v>443</v>
      </c>
      <c r="H16" s="63"/>
      <c r="I16" s="63"/>
      <c r="J16" s="63"/>
      <c r="M16" s="469">
        <f t="shared" ref="M16:O17" si="1">N16</f>
        <v>0</v>
      </c>
      <c r="N16" s="469">
        <f t="shared" si="1"/>
        <v>0</v>
      </c>
      <c r="O16" s="469">
        <f t="shared" si="1"/>
        <v>0</v>
      </c>
      <c r="P16" s="470">
        <f>Summary!P96</f>
        <v>0</v>
      </c>
      <c r="Q16" s="469">
        <f>Summary!Q96</f>
        <v>55.405615062708264</v>
      </c>
      <c r="R16" s="469">
        <f>Summary!R96</f>
        <v>55.405615062708264</v>
      </c>
      <c r="S16" s="469">
        <f>Summary!S96</f>
        <v>55.405615062708264</v>
      </c>
      <c r="T16" s="469">
        <f>Summary!T96</f>
        <v>55.405615062708264</v>
      </c>
      <c r="U16" s="469">
        <f>Summary!U96</f>
        <v>55.405615062708264</v>
      </c>
      <c r="V16" s="469">
        <f>Summary!V96</f>
        <v>55.405615062708264</v>
      </c>
      <c r="W16" s="469">
        <f>Summary!W96</f>
        <v>55.405615062708264</v>
      </c>
      <c r="X16" s="469">
        <f>Summary!X96</f>
        <v>55.405615062708264</v>
      </c>
      <c r="Y16" s="469">
        <f>Summary!Y96</f>
        <v>55.405615062708264</v>
      </c>
      <c r="Z16" s="469">
        <f>Summary!Z96</f>
        <v>55.405615062708264</v>
      </c>
      <c r="AA16" s="469">
        <f>Summary!AA96</f>
        <v>55.405615062708264</v>
      </c>
      <c r="AB16" s="469">
        <f>Summary!AB96</f>
        <v>55.405615062708264</v>
      </c>
      <c r="AC16" s="469">
        <f>Summary!AC96</f>
        <v>55.405615062708264</v>
      </c>
      <c r="AD16" s="469">
        <f>Summary!AD96</f>
        <v>55.405615062708264</v>
      </c>
      <c r="AE16" s="469">
        <f>Summary!AE96</f>
        <v>55.405615062708264</v>
      </c>
      <c r="AF16" s="469">
        <f>Summary!AF96</f>
        <v>55.405615062708264</v>
      </c>
      <c r="AG16" s="469">
        <f>Summary!AG96</f>
        <v>55.405615062708264</v>
      </c>
      <c r="AH16" s="469">
        <f>Summary!AH96</f>
        <v>55.405615062708264</v>
      </c>
      <c r="AI16" s="469">
        <f>Summary!AI96</f>
        <v>55.405615062708264</v>
      </c>
      <c r="AJ16" s="469">
        <f>Summary!AJ96</f>
        <v>55.405615062708264</v>
      </c>
      <c r="AK16" s="469">
        <f>Summary!AK96</f>
        <v>55.405615062708264</v>
      </c>
      <c r="AL16" s="469">
        <f>Summary!AL96</f>
        <v>55.405615062708264</v>
      </c>
      <c r="AM16" s="469">
        <f>Summary!AM96</f>
        <v>55.405615062708264</v>
      </c>
      <c r="AP16" s="6">
        <f>ROW()</f>
        <v>16</v>
      </c>
    </row>
    <row r="17" spans="2:42" s="62" customFormat="1" ht="14" customHeight="1">
      <c r="B17" s="54" t="str">
        <f>CONCATENATE("Tax in yr shown, also per ton CO2 and in nominal $ (w/ inflation adj'ment if Cell J",Summary!$AO$79, " in 'Summary' tab was set to &lt;Real&gt;)")</f>
        <v>Tax in yr shown, also per ton CO2 and in nominal $ (w/ inflation adj'ment if Cell J79 in 'Summary' tab was set to &lt;Real&gt;)</v>
      </c>
      <c r="H17" s="63"/>
      <c r="I17" s="63"/>
      <c r="J17" s="63"/>
      <c r="M17" s="469">
        <f t="shared" si="1"/>
        <v>0</v>
      </c>
      <c r="N17" s="469">
        <f t="shared" si="1"/>
        <v>0</v>
      </c>
      <c r="O17" s="469">
        <f t="shared" si="1"/>
        <v>0</v>
      </c>
      <c r="P17" s="470">
        <f>Summary!P97</f>
        <v>0</v>
      </c>
      <c r="Q17" s="469">
        <f>Summary!Q97</f>
        <v>55.405615062708264</v>
      </c>
      <c r="R17" s="469">
        <f>Summary!R97</f>
        <v>56.311103997955648</v>
      </c>
      <c r="S17" s="469">
        <f>Summary!S97</f>
        <v>57.231391256638801</v>
      </c>
      <c r="T17" s="469">
        <f>Summary!T97</f>
        <v>58.166718686413702</v>
      </c>
      <c r="U17" s="469">
        <f>Summary!U97</f>
        <v>59.117332087430611</v>
      </c>
      <c r="V17" s="469">
        <f>Summary!V97</f>
        <v>60.083481276929334</v>
      </c>
      <c r="W17" s="469">
        <f>Summary!W97</f>
        <v>61.065420154890113</v>
      </c>
      <c r="X17" s="469">
        <f>Summary!X97</f>
        <v>62.063406770757553</v>
      </c>
      <c r="Y17" s="469">
        <f>Summary!Y97</f>
        <v>63.077703391254822</v>
      </c>
      <c r="Z17" s="469">
        <f>Summary!Z97</f>
        <v>64.108576569306436</v>
      </c>
      <c r="AA17" s="469">
        <f>Summary!AA97</f>
        <v>65.156297214087033</v>
      </c>
      <c r="AB17" s="469">
        <f>Summary!AB97</f>
        <v>66.221140662215376</v>
      </c>
      <c r="AC17" s="469">
        <f>Summary!AC97</f>
        <v>67.303386750111528</v>
      </c>
      <c r="AD17" s="469">
        <f>Summary!AD97</f>
        <v>68.40331988753681</v>
      </c>
      <c r="AE17" s="469">
        <f>Summary!AE97</f>
        <v>69.521229132335364</v>
      </c>
      <c r="AF17" s="469">
        <f>Summary!AF97</f>
        <v>70.65740826639751</v>
      </c>
      <c r="AG17" s="469">
        <f>Summary!AG97</f>
        <v>71.812155872864238</v>
      </c>
      <c r="AH17" s="469">
        <f>Summary!AH97</f>
        <v>72.985775414593775</v>
      </c>
      <c r="AI17" s="469">
        <f>Summary!AI97</f>
        <v>74.178575313910244</v>
      </c>
      <c r="AJ17" s="469">
        <f>Summary!AJ97</f>
        <v>75.390869033655804</v>
      </c>
      <c r="AK17" s="469">
        <f>Summary!AK97</f>
        <v>76.622975159567346</v>
      </c>
      <c r="AL17" s="469">
        <f>Summary!AL97</f>
        <v>77.875217483999577</v>
      </c>
      <c r="AM17" s="469">
        <f>Summary!AM97</f>
        <v>79.147925091016234</v>
      </c>
      <c r="AP17" s="6">
        <f>ROW()</f>
        <v>17</v>
      </c>
    </row>
    <row r="18" spans="2:42" s="62" customFormat="1" ht="14" customHeight="1">
      <c r="B18" s="54" t="s">
        <v>469</v>
      </c>
      <c r="H18" s="63"/>
      <c r="I18" s="63"/>
      <c r="J18" s="63"/>
      <c r="M18" s="469">
        <f>M17*Parameters!$H$14/2000</f>
        <v>0</v>
      </c>
      <c r="N18" s="469">
        <f>N17*Parameters!$H$14/2000</f>
        <v>0</v>
      </c>
      <c r="O18" s="469">
        <f>O17*Parameters!$H$14/2000</f>
        <v>0</v>
      </c>
      <c r="P18" s="470">
        <f>P17*Parameters!$H$14/2000</f>
        <v>0</v>
      </c>
      <c r="Q18" s="469">
        <f>Q17*Parameters!$H$14/2000</f>
        <v>61.084690606635867</v>
      </c>
      <c r="R18" s="469">
        <f>R17*Parameters!$H$14/2000</f>
        <v>62.082992157746098</v>
      </c>
      <c r="S18" s="469">
        <f>S17*Parameters!$H$14/2000</f>
        <v>63.097608860444275</v>
      </c>
      <c r="T18" s="469">
        <f>T17*Parameters!$H$14/2000</f>
        <v>64.128807351771115</v>
      </c>
      <c r="U18" s="469">
        <f>U17*Parameters!$H$14/2000</f>
        <v>65.176858626392246</v>
      </c>
      <c r="V18" s="469">
        <f>V17*Parameters!$H$14/2000</f>
        <v>66.242038107814594</v>
      </c>
      <c r="W18" s="469">
        <f>W17*Parameters!$H$14/2000</f>
        <v>67.324625720766349</v>
      </c>
      <c r="X18" s="469">
        <f>X17*Parameters!$H$14/2000</f>
        <v>68.4249059647602</v>
      </c>
      <c r="Y18" s="469">
        <f>Y17*Parameters!$H$14/2000</f>
        <v>69.543167988858443</v>
      </c>
      <c r="Z18" s="469">
        <f>Z17*Parameters!$H$14/2000</f>
        <v>70.679705667660343</v>
      </c>
      <c r="AA18" s="469">
        <f>AA17*Parameters!$H$14/2000</f>
        <v>71.834817678530953</v>
      </c>
      <c r="AB18" s="469">
        <f>AB17*Parameters!$H$14/2000</f>
        <v>73.008807580092451</v>
      </c>
      <c r="AC18" s="469">
        <f>AC17*Parameters!$H$14/2000</f>
        <v>74.201983891997969</v>
      </c>
      <c r="AD18" s="469">
        <f>AD17*Parameters!$H$14/2000</f>
        <v>75.414660176009335</v>
      </c>
      <c r="AE18" s="469">
        <f>AE17*Parameters!$H$14/2000</f>
        <v>76.647155118399738</v>
      </c>
      <c r="AF18" s="469">
        <f>AF17*Parameters!$H$14/2000</f>
        <v>77.899792613703255</v>
      </c>
      <c r="AG18" s="469">
        <f>AG17*Parameters!$H$14/2000</f>
        <v>79.172901849832826</v>
      </c>
      <c r="AH18" s="469">
        <f>AH17*Parameters!$H$14/2000</f>
        <v>80.46681739458964</v>
      </c>
      <c r="AI18" s="469">
        <f>AI17*Parameters!$H$14/2000</f>
        <v>81.781879283586036</v>
      </c>
      <c r="AJ18" s="469">
        <f>AJ17*Parameters!$H$14/2000</f>
        <v>83.118433109605519</v>
      </c>
      <c r="AK18" s="469">
        <f>AK17*Parameters!$H$14/2000</f>
        <v>84.476830113423006</v>
      </c>
      <c r="AL18" s="469">
        <f>AL17*Parameters!$H$14/2000</f>
        <v>85.857427276109533</v>
      </c>
      <c r="AM18" s="469">
        <f>AM17*Parameters!$H$14/2000</f>
        <v>87.260587412845396</v>
      </c>
      <c r="AP18" s="6">
        <f>ROW()</f>
        <v>18</v>
      </c>
    </row>
    <row r="19" spans="2:42" s="62" customFormat="1" ht="14" customHeight="1">
      <c r="H19" s="63"/>
      <c r="I19" s="63"/>
      <c r="J19" s="63"/>
      <c r="M19" s="64"/>
      <c r="N19" s="64"/>
      <c r="O19" s="64"/>
      <c r="P19" s="282"/>
      <c r="Q19" s="64"/>
      <c r="R19" s="64"/>
      <c r="S19" s="64"/>
      <c r="T19" s="64"/>
      <c r="U19" s="64"/>
      <c r="V19" s="64"/>
      <c r="W19" s="64"/>
      <c r="X19" s="64"/>
      <c r="Y19" s="64"/>
      <c r="Z19" s="64"/>
      <c r="AA19" s="64"/>
      <c r="AB19" s="64"/>
      <c r="AC19" s="64"/>
      <c r="AD19" s="64"/>
      <c r="AE19" s="64"/>
      <c r="AF19" s="64"/>
      <c r="AG19" s="64"/>
      <c r="AH19" s="64"/>
      <c r="AI19" s="64"/>
      <c r="AJ19" s="64"/>
      <c r="AK19" s="64"/>
      <c r="AL19" s="64"/>
      <c r="AM19" s="64"/>
      <c r="AP19" s="6">
        <f>ROW()</f>
        <v>19</v>
      </c>
    </row>
    <row r="20" spans="2:42" ht="14" customHeight="1">
      <c r="I20" s="13">
        <v>2005</v>
      </c>
      <c r="J20" s="13">
        <v>2006</v>
      </c>
      <c r="K20" s="13">
        <f t="shared" ref="K20:AM20" si="2">K13</f>
        <v>2007</v>
      </c>
      <c r="L20" s="13">
        <f t="shared" si="2"/>
        <v>2008</v>
      </c>
      <c r="M20" s="13">
        <f t="shared" si="2"/>
        <v>2009</v>
      </c>
      <c r="N20" s="13">
        <f t="shared" si="2"/>
        <v>2010</v>
      </c>
      <c r="O20" s="13">
        <f t="shared" si="2"/>
        <v>2011</v>
      </c>
      <c r="P20" s="283">
        <f t="shared" si="2"/>
        <v>2012</v>
      </c>
      <c r="Q20" s="13">
        <f t="shared" si="2"/>
        <v>2015</v>
      </c>
      <c r="R20" s="13">
        <f t="shared" si="2"/>
        <v>2016</v>
      </c>
      <c r="S20" s="13">
        <f t="shared" si="2"/>
        <v>2017</v>
      </c>
      <c r="T20" s="13">
        <f t="shared" si="2"/>
        <v>2018</v>
      </c>
      <c r="U20" s="13">
        <f t="shared" si="2"/>
        <v>2019</v>
      </c>
      <c r="V20" s="13">
        <f t="shared" si="2"/>
        <v>2020</v>
      </c>
      <c r="W20" s="13">
        <f t="shared" si="2"/>
        <v>2021</v>
      </c>
      <c r="X20" s="13">
        <f t="shared" si="2"/>
        <v>2022</v>
      </c>
      <c r="Y20" s="13">
        <f t="shared" si="2"/>
        <v>2023</v>
      </c>
      <c r="Z20" s="13">
        <f t="shared" si="2"/>
        <v>2024</v>
      </c>
      <c r="AA20" s="13">
        <f t="shared" si="2"/>
        <v>2025</v>
      </c>
      <c r="AB20" s="13">
        <f t="shared" si="2"/>
        <v>2026</v>
      </c>
      <c r="AC20" s="13">
        <f t="shared" si="2"/>
        <v>2027</v>
      </c>
      <c r="AD20" s="13">
        <f t="shared" si="2"/>
        <v>2028</v>
      </c>
      <c r="AE20" s="13">
        <f t="shared" si="2"/>
        <v>2029</v>
      </c>
      <c r="AF20" s="13">
        <f t="shared" si="2"/>
        <v>2030</v>
      </c>
      <c r="AG20" s="13">
        <f t="shared" si="2"/>
        <v>2031</v>
      </c>
      <c r="AH20" s="13">
        <f t="shared" si="2"/>
        <v>2032</v>
      </c>
      <c r="AI20" s="13">
        <f t="shared" si="2"/>
        <v>2033</v>
      </c>
      <c r="AJ20" s="13">
        <f t="shared" si="2"/>
        <v>2034</v>
      </c>
      <c r="AK20" s="13">
        <f t="shared" si="2"/>
        <v>2035</v>
      </c>
      <c r="AL20" s="13">
        <f t="shared" si="2"/>
        <v>2036</v>
      </c>
      <c r="AM20" s="13">
        <f t="shared" si="2"/>
        <v>2037</v>
      </c>
      <c r="AP20" s="6">
        <f>ROW()</f>
        <v>20</v>
      </c>
    </row>
    <row r="21" spans="2:42" ht="14" customHeight="1">
      <c r="B21" s="8" t="s">
        <v>399</v>
      </c>
      <c r="I21" s="13"/>
      <c r="J21" s="13"/>
      <c r="K21" s="13"/>
      <c r="L21" s="13"/>
      <c r="M21" s="13"/>
      <c r="N21" s="13"/>
      <c r="O21" s="13"/>
      <c r="P21" s="283"/>
      <c r="Q21" s="13"/>
      <c r="R21" s="13"/>
      <c r="S21" s="13"/>
      <c r="T21" s="13"/>
      <c r="U21" s="13"/>
      <c r="V21" s="13"/>
      <c r="W21" s="13"/>
      <c r="X21" s="13"/>
      <c r="Y21" s="13"/>
      <c r="Z21" s="13"/>
      <c r="AA21" s="13"/>
      <c r="AB21" s="13"/>
      <c r="AC21" s="13"/>
      <c r="AD21" s="13"/>
      <c r="AE21" s="13"/>
      <c r="AF21" s="13"/>
      <c r="AG21" s="13"/>
      <c r="AH21" s="13"/>
      <c r="AI21" s="13"/>
      <c r="AJ21" s="13"/>
      <c r="AK21" s="13"/>
      <c r="AL21" s="13"/>
      <c r="AM21" s="13"/>
      <c r="AP21" s="6">
        <f>ROW()</f>
        <v>21</v>
      </c>
    </row>
    <row r="22" spans="2:42" ht="14" customHeight="1">
      <c r="B22" s="32" t="s">
        <v>434</v>
      </c>
      <c r="I22" s="13"/>
      <c r="J22" s="13"/>
      <c r="K22" s="13"/>
      <c r="L22" s="13"/>
      <c r="M22" s="163">
        <v>9.82</v>
      </c>
      <c r="N22" s="163">
        <v>9.83</v>
      </c>
      <c r="O22" s="163">
        <v>9.9</v>
      </c>
      <c r="P22" s="284">
        <v>9.8000000000000007</v>
      </c>
      <c r="Q22" s="13"/>
      <c r="R22" s="13"/>
      <c r="S22" s="13"/>
      <c r="T22" s="13"/>
      <c r="U22" s="13"/>
      <c r="V22" s="13"/>
      <c r="W22" s="13"/>
      <c r="X22" s="13"/>
      <c r="Y22" s="13"/>
      <c r="Z22" s="13"/>
      <c r="AA22" s="13"/>
      <c r="AB22" s="13"/>
      <c r="AC22" s="13"/>
      <c r="AD22" s="13"/>
      <c r="AE22" s="13"/>
      <c r="AF22" s="13"/>
      <c r="AG22" s="13"/>
      <c r="AH22" s="13"/>
      <c r="AI22" s="13"/>
      <c r="AJ22" s="13"/>
      <c r="AK22" s="13"/>
      <c r="AL22" s="13"/>
      <c r="AM22" s="13"/>
      <c r="AP22" s="6">
        <f>ROW()</f>
        <v>22</v>
      </c>
    </row>
    <row r="23" spans="2:42" ht="14" customHeight="1">
      <c r="B23" s="91" t="s">
        <v>437</v>
      </c>
      <c r="F23" s="317"/>
      <c r="I23" s="13"/>
      <c r="J23" s="13"/>
      <c r="K23" s="13"/>
      <c r="L23" s="13"/>
      <c r="M23" s="163"/>
      <c r="N23" s="163"/>
      <c r="O23" s="163"/>
      <c r="P23" s="284"/>
      <c r="Q23" s="13"/>
      <c r="R23" s="13"/>
      <c r="S23" s="13"/>
      <c r="T23" s="13"/>
      <c r="U23" s="13"/>
      <c r="V23" s="13"/>
      <c r="W23" s="13"/>
      <c r="X23" s="13"/>
      <c r="Y23" s="13"/>
      <c r="Z23" s="13"/>
      <c r="AA23" s="13"/>
      <c r="AB23" s="13"/>
      <c r="AC23" s="13"/>
      <c r="AD23" s="13"/>
      <c r="AE23" s="13"/>
      <c r="AF23" s="13"/>
      <c r="AG23" s="13"/>
      <c r="AH23" s="13"/>
      <c r="AI23" s="13"/>
      <c r="AJ23" s="13"/>
      <c r="AK23" s="13"/>
      <c r="AL23" s="13"/>
      <c r="AM23" s="13"/>
      <c r="AP23" s="6">
        <f>ROW()</f>
        <v>23</v>
      </c>
    </row>
    <row r="24" spans="2:42" ht="14" customHeight="1">
      <c r="B24" s="32" t="s">
        <v>438</v>
      </c>
      <c r="I24" s="91" t="str">
        <f>CONCATENATE("AEO projections, from 'AEO' tab, Row ",AEO!P14, ".")</f>
        <v>AEO projections, from 'AEO' tab, Row 14.</v>
      </c>
      <c r="J24" s="13"/>
      <c r="L24" s="13"/>
      <c r="M24" s="13"/>
      <c r="N24" s="13"/>
      <c r="O24" s="13"/>
      <c r="P24" s="284"/>
      <c r="Q24" s="165">
        <f>IF(Q$13&gt;=2036,AEO!$L14,(IF(Q$13&gt;=2026,AEO!$K14,AEO!$J14)))</f>
        <v>0.99705840937138501</v>
      </c>
      <c r="R24" s="165">
        <f>IF(R$13&gt;=2036,AEO!$L14,(IF(R$13&gt;=2026,AEO!$K14,AEO!$J14)))</f>
        <v>0.99705840937138501</v>
      </c>
      <c r="S24" s="165">
        <f>IF(S$13&gt;=2036,AEO!$L14,(IF(S$13&gt;=2026,AEO!$K14,AEO!$J14)))</f>
        <v>0.99705840937138501</v>
      </c>
      <c r="T24" s="165">
        <f>IF(T$13&gt;=2036,AEO!$L14,(IF(T$13&gt;=2026,AEO!$K14,AEO!$J14)))</f>
        <v>0.99705840937138501</v>
      </c>
      <c r="U24" s="165">
        <f>IF(U$13&gt;=2036,AEO!$L14,(IF(U$13&gt;=2026,AEO!$K14,AEO!$J14)))</f>
        <v>0.99705840937138501</v>
      </c>
      <c r="V24" s="165">
        <f>IF(V$13&gt;=2036,AEO!$L14,(IF(V$13&gt;=2026,AEO!$K14,AEO!$J14)))</f>
        <v>0.99705840937138501</v>
      </c>
      <c r="W24" s="165">
        <f>IF(W$13&gt;=2036,AEO!$L14,(IF(W$13&gt;=2026,AEO!$K14,AEO!$J14)))</f>
        <v>0.99705840937138501</v>
      </c>
      <c r="X24" s="165">
        <f>IF(X$13&gt;=2036,AEO!$L14,(IF(X$13&gt;=2026,AEO!$K14,AEO!$J14)))</f>
        <v>0.99705840937138501</v>
      </c>
      <c r="Y24" s="165">
        <f>IF(Y$13&gt;=2036,AEO!$L14,(IF(Y$13&gt;=2026,AEO!$K14,AEO!$J14)))</f>
        <v>0.99705840937138501</v>
      </c>
      <c r="Z24" s="165">
        <f>IF(Z$13&gt;=2036,AEO!$L14,(IF(Z$13&gt;=2026,AEO!$K14,AEO!$J14)))</f>
        <v>0.99705840937138501</v>
      </c>
      <c r="AA24" s="165">
        <f>IF(AA$13&gt;=2036,AEO!$L14,(IF(AA$13&gt;=2026,AEO!$K14,AEO!$J14)))</f>
        <v>0.99705840937138501</v>
      </c>
      <c r="AB24" s="165">
        <f>IF(AB$13&gt;=2036,AEO!$L14,(IF(AB$13&gt;=2026,AEO!$K14,AEO!$J14)))</f>
        <v>1.0061431547761692</v>
      </c>
      <c r="AC24" s="165">
        <f>IF(AC$13&gt;=2036,AEO!$L14,(IF(AC$13&gt;=2026,AEO!$K14,AEO!$J14)))</f>
        <v>1.0061431547761692</v>
      </c>
      <c r="AD24" s="165">
        <f>IF(AD$13&gt;=2036,AEO!$L14,(IF(AD$13&gt;=2026,AEO!$K14,AEO!$J14)))</f>
        <v>1.0061431547761692</v>
      </c>
      <c r="AE24" s="165">
        <f>IF(AE$13&gt;=2036,AEO!$L14,(IF(AE$13&gt;=2026,AEO!$K14,AEO!$J14)))</f>
        <v>1.0061431547761692</v>
      </c>
      <c r="AF24" s="165">
        <f>IF(AF$13&gt;=2036,AEO!$L14,(IF(AF$13&gt;=2026,AEO!$K14,AEO!$J14)))</f>
        <v>1.0061431547761692</v>
      </c>
      <c r="AG24" s="165">
        <f>IF(AG$13&gt;=2036,AEO!$L14,(IF(AG$13&gt;=2026,AEO!$K14,AEO!$J14)))</f>
        <v>1.0061431547761692</v>
      </c>
      <c r="AH24" s="165">
        <f>IF(AH$13&gt;=2036,AEO!$L14,(IF(AH$13&gt;=2026,AEO!$K14,AEO!$J14)))</f>
        <v>1.0061431547761692</v>
      </c>
      <c r="AI24" s="165">
        <f>IF(AI$13&gt;=2036,AEO!$L14,(IF(AI$13&gt;=2026,AEO!$K14,AEO!$J14)))</f>
        <v>1.0061431547761692</v>
      </c>
      <c r="AJ24" s="165">
        <f>IF(AJ$13&gt;=2036,AEO!$L14,(IF(AJ$13&gt;=2026,AEO!$K14,AEO!$J14)))</f>
        <v>1.0061431547761692</v>
      </c>
      <c r="AK24" s="165">
        <f>IF(AK$13&gt;=2036,AEO!$L14,(IF(AK$13&gt;=2026,AEO!$K14,AEO!$J14)))</f>
        <v>1.0061431547761692</v>
      </c>
      <c r="AL24" s="165">
        <f>IF(AL$13&gt;=2036,AEO!$L14,(IF(AL$13&gt;=2026,AEO!$K14,AEO!$J14)))</f>
        <v>1.0134923533200011</v>
      </c>
      <c r="AM24" s="165">
        <f>IF(AM$13&gt;=2036,AEO!$L14,(IF(AM$13&gt;=2026,AEO!$K14,AEO!$J14)))</f>
        <v>1.0134923533200011</v>
      </c>
      <c r="AP24" s="6">
        <f>ROW()</f>
        <v>24</v>
      </c>
    </row>
    <row r="25" spans="2:42" ht="14" customHeight="1">
      <c r="B25" s="32" t="s">
        <v>439</v>
      </c>
      <c r="I25" s="91" t="str">
        <f>CONCATENATE("AEO projections, from 'AEO' tab, Row ",AEO!P18, ".")</f>
        <v>AEO projections, from 'AEO' tab, Row 18.</v>
      </c>
      <c r="J25" s="13"/>
      <c r="L25" s="13"/>
      <c r="M25" s="13"/>
      <c r="N25" s="13"/>
      <c r="O25" s="13"/>
      <c r="P25" s="284"/>
      <c r="Q25" s="165">
        <f>IF(Q$13&gt;=2036,AEO!$L18,(IF(Q$13&gt;=2026,AEO!$K18,AEO!$J18)))</f>
        <v>1.0163429091838896</v>
      </c>
      <c r="R25" s="165">
        <f>IF(R$13&gt;=2036,AEO!$L18,(IF(R$13&gt;=2026,AEO!$K18,AEO!$J18)))</f>
        <v>1.0163429091838896</v>
      </c>
      <c r="S25" s="165">
        <f>IF(S$13&gt;=2036,AEO!$L18,(IF(S$13&gt;=2026,AEO!$K18,AEO!$J18)))</f>
        <v>1.0163429091838896</v>
      </c>
      <c r="T25" s="165">
        <f>IF(T$13&gt;=2036,AEO!$L18,(IF(T$13&gt;=2026,AEO!$K18,AEO!$J18)))</f>
        <v>1.0163429091838896</v>
      </c>
      <c r="U25" s="165">
        <f>IF(U$13&gt;=2036,AEO!$L18,(IF(U$13&gt;=2026,AEO!$K18,AEO!$J18)))</f>
        <v>1.0163429091838896</v>
      </c>
      <c r="V25" s="165">
        <f>IF(V$13&gt;=2036,AEO!$L18,(IF(V$13&gt;=2026,AEO!$K18,AEO!$J18)))</f>
        <v>1.0163429091838896</v>
      </c>
      <c r="W25" s="165">
        <f>IF(W$13&gt;=2036,AEO!$L18,(IF(W$13&gt;=2026,AEO!$K18,AEO!$J18)))</f>
        <v>1.0163429091838896</v>
      </c>
      <c r="X25" s="165">
        <f>IF(X$13&gt;=2036,AEO!$L18,(IF(X$13&gt;=2026,AEO!$K18,AEO!$J18)))</f>
        <v>1.0163429091838896</v>
      </c>
      <c r="Y25" s="165">
        <f>IF(Y$13&gt;=2036,AEO!$L18,(IF(Y$13&gt;=2026,AEO!$K18,AEO!$J18)))</f>
        <v>1.0163429091838896</v>
      </c>
      <c r="Z25" s="165">
        <f>IF(Z$13&gt;=2036,AEO!$L18,(IF(Z$13&gt;=2026,AEO!$K18,AEO!$J18)))</f>
        <v>1.0163429091838896</v>
      </c>
      <c r="AA25" s="165">
        <f>IF(AA$13&gt;=2036,AEO!$L18,(IF(AA$13&gt;=2026,AEO!$K18,AEO!$J18)))</f>
        <v>1.0163429091838896</v>
      </c>
      <c r="AB25" s="165">
        <f>IF(AB$13&gt;=2036,AEO!$L18,(IF(AB$13&gt;=2026,AEO!$K18,AEO!$J18)))</f>
        <v>1.0182924257538559</v>
      </c>
      <c r="AC25" s="165">
        <f>IF(AC$13&gt;=2036,AEO!$L18,(IF(AC$13&gt;=2026,AEO!$K18,AEO!$J18)))</f>
        <v>1.0182924257538559</v>
      </c>
      <c r="AD25" s="165">
        <f>IF(AD$13&gt;=2036,AEO!$L18,(IF(AD$13&gt;=2026,AEO!$K18,AEO!$J18)))</f>
        <v>1.0182924257538559</v>
      </c>
      <c r="AE25" s="165">
        <f>IF(AE$13&gt;=2036,AEO!$L18,(IF(AE$13&gt;=2026,AEO!$K18,AEO!$J18)))</f>
        <v>1.0182924257538559</v>
      </c>
      <c r="AF25" s="165">
        <f>IF(AF$13&gt;=2036,AEO!$L18,(IF(AF$13&gt;=2026,AEO!$K18,AEO!$J18)))</f>
        <v>1.0182924257538559</v>
      </c>
      <c r="AG25" s="165">
        <f>IF(AG$13&gt;=2036,AEO!$L18,(IF(AG$13&gt;=2026,AEO!$K18,AEO!$J18)))</f>
        <v>1.0182924257538559</v>
      </c>
      <c r="AH25" s="165">
        <f>IF(AH$13&gt;=2036,AEO!$L18,(IF(AH$13&gt;=2026,AEO!$K18,AEO!$J18)))</f>
        <v>1.0182924257538559</v>
      </c>
      <c r="AI25" s="165">
        <f>IF(AI$13&gt;=2036,AEO!$L18,(IF(AI$13&gt;=2026,AEO!$K18,AEO!$J18)))</f>
        <v>1.0182924257538559</v>
      </c>
      <c r="AJ25" s="165">
        <f>IF(AJ$13&gt;=2036,AEO!$L18,(IF(AJ$13&gt;=2026,AEO!$K18,AEO!$J18)))</f>
        <v>1.0182924257538559</v>
      </c>
      <c r="AK25" s="165">
        <f>IF(AK$13&gt;=2036,AEO!$L18,(IF(AK$13&gt;=2026,AEO!$K18,AEO!$J18)))</f>
        <v>1.0182924257538559</v>
      </c>
      <c r="AL25" s="165">
        <f>IF(AL$13&gt;=2036,AEO!$L18,(IF(AL$13&gt;=2026,AEO!$K18,AEO!$J18)))</f>
        <v>1.0178019647807248</v>
      </c>
      <c r="AM25" s="165">
        <f>IF(AM$13&gt;=2036,AEO!$L18,(IF(AM$13&gt;=2026,AEO!$K18,AEO!$J18)))</f>
        <v>1.0178019647807248</v>
      </c>
      <c r="AP25" s="6">
        <f>ROW()</f>
        <v>25</v>
      </c>
    </row>
    <row r="26" spans="2:42" ht="14" customHeight="1">
      <c r="B26" s="32" t="s">
        <v>440</v>
      </c>
      <c r="I26" s="91" t="str">
        <f>CONCATENATE("Previous yr's price x same yr's ratios in Rows ",AP24, "-",AP25, ", except first yr pivots off last known yr.")</f>
        <v>Previous yr's price x same yr's ratios in Rows 24-25, except first yr pivots off last known yr.</v>
      </c>
      <c r="K26" s="294"/>
      <c r="L26" s="13"/>
      <c r="N26" s="71"/>
      <c r="O26" s="71"/>
      <c r="P26" s="27"/>
      <c r="Q26" s="163">
        <f>P22*Q24^(Q13-P13)*Q25^(Q13-P13)</f>
        <v>10.197851008016745</v>
      </c>
      <c r="R26" s="163">
        <f t="shared" ref="R26:AM26" si="3">Q26*R24*R25</f>
        <v>10.334025404950669</v>
      </c>
      <c r="S26" s="163">
        <f t="shared" si="3"/>
        <v>10.472018171888797</v>
      </c>
      <c r="T26" s="163">
        <f t="shared" si="3"/>
        <v>10.611853589970217</v>
      </c>
      <c r="U26" s="163">
        <f t="shared" si="3"/>
        <v>10.753556264566001</v>
      </c>
      <c r="V26" s="163">
        <f t="shared" si="3"/>
        <v>10.897151129608757</v>
      </c>
      <c r="W26" s="163">
        <f t="shared" si="3"/>
        <v>11.042663451979987</v>
      </c>
      <c r="X26" s="163">
        <f t="shared" si="3"/>
        <v>11.190118835956037</v>
      </c>
      <c r="Y26" s="163">
        <f t="shared" si="3"/>
        <v>11.339543227713413</v>
      </c>
      <c r="Z26" s="163">
        <f t="shared" si="3"/>
        <v>11.490962919894262</v>
      </c>
      <c r="AA26" s="163">
        <f t="shared" si="3"/>
        <v>11.644404556232798</v>
      </c>
      <c r="AB26" s="163">
        <f t="shared" si="3"/>
        <v>11.930250860523607</v>
      </c>
      <c r="AC26" s="163">
        <f t="shared" si="3"/>
        <v>12.223114106666799</v>
      </c>
      <c r="AD26" s="163">
        <f t="shared" si="3"/>
        <v>12.523166546226312</v>
      </c>
      <c r="AE26" s="163">
        <f t="shared" si="3"/>
        <v>12.830584659189505</v>
      </c>
      <c r="AF26" s="163">
        <f t="shared" si="3"/>
        <v>13.145549257766302</v>
      </c>
      <c r="AG26" s="163">
        <f t="shared" si="3"/>
        <v>13.468245592736388</v>
      </c>
      <c r="AH26" s="163">
        <f t="shared" si="3"/>
        <v>13.798863462407018</v>
      </c>
      <c r="AI26" s="163">
        <f t="shared" si="3"/>
        <v>14.137597324245515</v>
      </c>
      <c r="AJ26" s="163">
        <f t="shared" si="3"/>
        <v>14.484646409252109</v>
      </c>
      <c r="AK26" s="163">
        <f t="shared" si="3"/>
        <v>14.840214839140408</v>
      </c>
      <c r="AL26" s="163">
        <f t="shared" si="3"/>
        <v>15.308193720117279</v>
      </c>
      <c r="AM26" s="163">
        <f t="shared" si="3"/>
        <v>15.790930085093825</v>
      </c>
      <c r="AN26" s="163"/>
      <c r="AP26" s="6">
        <f>ROW()</f>
        <v>26</v>
      </c>
    </row>
    <row r="27" spans="2:42" ht="14" customHeight="1">
      <c r="B27" s="32"/>
      <c r="I27" s="91"/>
      <c r="K27" s="294"/>
      <c r="L27" s="13"/>
      <c r="N27" s="71"/>
      <c r="O27" s="71"/>
      <c r="P27" s="27"/>
      <c r="Q27" s="163"/>
      <c r="R27" s="165"/>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P27" s="6">
        <f>ROW()</f>
        <v>27</v>
      </c>
    </row>
    <row r="28" spans="2:42" ht="14" customHeight="1">
      <c r="B28" s="32" t="s">
        <v>298</v>
      </c>
      <c r="I28" s="18">
        <f>3810984.044/1000</f>
        <v>3810.9840440000003</v>
      </c>
      <c r="J28" s="18">
        <f>3816845.452/1000</f>
        <v>3816.845452</v>
      </c>
      <c r="K28" s="18">
        <f>3890230.897/1000</f>
        <v>3890.2308969999999</v>
      </c>
      <c r="L28" s="18">
        <f>3865158.865/1000</f>
        <v>3865.1588650000003</v>
      </c>
      <c r="M28" s="128">
        <f>3723802.824/1000</f>
        <v>3723.8028239999999</v>
      </c>
      <c r="N28" s="128">
        <f>3886403.302/1000</f>
        <v>3886.4033020000002</v>
      </c>
      <c r="O28" s="128">
        <f>3882600.21/1000</f>
        <v>3882.6002100000001</v>
      </c>
      <c r="P28" s="285">
        <f>0.986*O28</f>
        <v>3828.2438070600001</v>
      </c>
      <c r="Q28" s="22">
        <f>P28*((AEO!J17^Parameters!$H$6)*((AEO!J14)^Parameters!G6))^(Q13-2012)</f>
        <v>4003.4563297083409</v>
      </c>
      <c r="R28" s="22">
        <f>Q28*IF(R$13&gt;=2036,AEO!$L17,(IF(R$13&gt;=2026,AEO!$K17,AEO!$J17)))^Parameters!$H$6*IF(R$13&gt;=2036,AEO!$L14,(IF(R$13&gt;=2026,AEO!$K14,AEO!$J14)))^Parameters!$G$6</f>
        <v>4063.6247596549956</v>
      </c>
      <c r="S28" s="22">
        <f>R28*IF(S$13&gt;=2036,AEO!$L17,(IF(S$13&gt;=2026,AEO!$K17,AEO!$J17)))^Parameters!$H$6*IF(S$13&gt;=2036,AEO!$L14,(IF(S$13&gt;=2026,AEO!$K14,AEO!$J14)))^Parameters!$G$6</f>
        <v>4124.6974682209466</v>
      </c>
      <c r="T28" s="22">
        <f>S28*IF(T$13&gt;=2036,AEO!$L17,(IF(T$13&gt;=2026,AEO!$K17,AEO!$J17)))^Parameters!$H$6*IF(T$13&gt;=2036,AEO!$L14,(IF(T$13&gt;=2026,AEO!$K14,AEO!$J14)))^Parameters!$G$6</f>
        <v>4186.6880459190616</v>
      </c>
      <c r="U28" s="22">
        <f>T28*IF(U$13&gt;=2036,AEO!$L17,(IF(U$13&gt;=2026,AEO!$K17,AEO!$J17)))^Parameters!$H$6*IF(U$13&gt;=2036,AEO!$L14,(IF(U$13&gt;=2026,AEO!$K14,AEO!$J14)))^Parameters!$G$6</f>
        <v>4249.6102875156694</v>
      </c>
      <c r="V28" s="22">
        <f>U28*IF(V$13&gt;=2036,AEO!$L17,(IF(V$13&gt;=2026,AEO!$K17,AEO!$J17)))^Parameters!$H$6*IF(V$13&gt;=2036,AEO!$L14,(IF(V$13&gt;=2026,AEO!$K14,AEO!$J14)))^Parameters!$G$6</f>
        <v>4313.4781951003124</v>
      </c>
      <c r="W28" s="22">
        <f>V28*IF(W$13&gt;=2036,AEO!$L17,(IF(W$13&gt;=2026,AEO!$K17,AEO!$J17)))^Parameters!$H$6*IF(W$13&gt;=2036,AEO!$L14,(IF(W$13&gt;=2026,AEO!$K14,AEO!$J14)))^Parameters!$G$6</f>
        <v>4378.3059812016336</v>
      </c>
      <c r="X28" s="22">
        <f>W28*IF(X$13&gt;=2036,AEO!$L17,(IF(X$13&gt;=2026,AEO!$K17,AEO!$J17)))^Parameters!$H$6*IF(X$13&gt;=2036,AEO!$L14,(IF(X$13&gt;=2026,AEO!$K14,AEO!$J14)))^Parameters!$G$6</f>
        <v>4444.1080719500897</v>
      </c>
      <c r="Y28" s="22">
        <f>X28*IF(Y$13&gt;=2036,AEO!$L17,(IF(Y$13&gt;=2026,AEO!$K17,AEO!$J17)))^Parameters!$H$6*IF(Y$13&gt;=2036,AEO!$L14,(IF(Y$13&gt;=2026,AEO!$K14,AEO!$J14)))^Parameters!$G$6</f>
        <v>4510.8991102881982</v>
      </c>
      <c r="Z28" s="22">
        <f>Y28*IF(Z$13&gt;=2036,AEO!$L17,(IF(Z$13&gt;=2026,AEO!$K17,AEO!$J17)))^Parameters!$H$6*IF(Z$13&gt;=2036,AEO!$L14,(IF(Z$13&gt;=2026,AEO!$K14,AEO!$J14)))^Parameters!$G$6</f>
        <v>4578.6939592290319</v>
      </c>
      <c r="AA28" s="22">
        <f>Z28*IF(AA$13&gt;=2036,AEO!$L17,(IF(AA$13&gt;=2026,AEO!$K17,AEO!$J17)))^Parameters!$H$6*IF(AA$13&gt;=2036,AEO!$L14,(IF(AA$13&gt;=2026,AEO!$K14,AEO!$J14)))^Parameters!$G$6</f>
        <v>4647.5077051636881</v>
      </c>
      <c r="AB28" s="22">
        <f>AA28*IF(AB$13&gt;=2036,AEO!$L17,(IF(AB$13&gt;=2026,AEO!$K17,AEO!$J17)))^Parameters!$H$6*IF(AB$13&gt;=2036,AEO!$L14,(IF(AB$13&gt;=2026,AEO!$K14,AEO!$J14)))^Parameters!$G$6</f>
        <v>4683.1071125807794</v>
      </c>
      <c r="AC28" s="22">
        <f>AB28*IF(AC$13&gt;=2036,AEO!$L17,(IF(AC$13&gt;=2026,AEO!$K17,AEO!$J17)))^Parameters!$H$6*IF(AC$13&gt;=2036,AEO!$L14,(IF(AC$13&gt;=2026,AEO!$K14,AEO!$J14)))^Parameters!$G$6</f>
        <v>4718.9792076164504</v>
      </c>
      <c r="AD28" s="22">
        <f>AC28*IF(AD$13&gt;=2036,AEO!$L17,(IF(AD$13&gt;=2026,AEO!$K17,AEO!$J17)))^Parameters!$H$6*IF(AD$13&gt;=2036,AEO!$L14,(IF(AD$13&gt;=2026,AEO!$K14,AEO!$J14)))^Parameters!$G$6</f>
        <v>4755.1260790284268</v>
      </c>
      <c r="AE28" s="22">
        <f>AD28*IF(AE$13&gt;=2036,AEO!$L17,(IF(AE$13&gt;=2026,AEO!$K17,AEO!$J17)))^Parameters!$H$6*IF(AE$13&gt;=2036,AEO!$L14,(IF(AE$13&gt;=2026,AEO!$K14,AEO!$J14)))^Parameters!$G$6</f>
        <v>4791.5498315740952</v>
      </c>
      <c r="AF28" s="22">
        <f>AE28*IF(AF$13&gt;=2036,AEO!$L17,(IF(AF$13&gt;=2026,AEO!$K17,AEO!$J17)))^Parameters!$H$6*IF(AF$13&gt;=2036,AEO!$L14,(IF(AF$13&gt;=2026,AEO!$K14,AEO!$J14)))^Parameters!$G$6</f>
        <v>4828.2525861330569</v>
      </c>
      <c r="AG28" s="22">
        <f>AF28*IF(AG$13&gt;=2036,AEO!$L17,(IF(AG$13&gt;=2026,AEO!$K17,AEO!$J17)))^Parameters!$H$6*IF(AG$13&gt;=2036,AEO!$L14,(IF(AG$13&gt;=2026,AEO!$K14,AEO!$J14)))^Parameters!$G$6</f>
        <v>4865.2364798306198</v>
      </c>
      <c r="AH28" s="22">
        <f>AG28*IF(AH$13&gt;=2036,AEO!$L17,(IF(AH$13&gt;=2026,AEO!$K17,AEO!$J17)))^Parameters!$H$6*IF(AH$13&gt;=2036,AEO!$L14,(IF(AH$13&gt;=2026,AEO!$K14,AEO!$J14)))^Parameters!$G$6</f>
        <v>4902.5036661622416</v>
      </c>
      <c r="AI28" s="22">
        <f>AH28*IF(AI$13&gt;=2036,AEO!$L17,(IF(AI$13&gt;=2026,AEO!$K17,AEO!$J17)))^Parameters!$H$6*IF(AI$13&gt;=2036,AEO!$L14,(IF(AI$13&gt;=2026,AEO!$K14,AEO!$J14)))^Parameters!$G$6</f>
        <v>4940.0563151189253</v>
      </c>
      <c r="AJ28" s="22">
        <f>AI28*IF(AJ$13&gt;=2036,AEO!$L17,(IF(AJ$13&gt;=2026,AEO!$K17,AEO!$J17)))^Parameters!$H$6*IF(AJ$13&gt;=2036,AEO!$L14,(IF(AJ$13&gt;=2026,AEO!$K14,AEO!$J14)))^Parameters!$G$6</f>
        <v>4977.8966133135682</v>
      </c>
      <c r="AK28" s="22">
        <f>AJ28*IF(AK$13&gt;=2036,AEO!$L17,(IF(AK$13&gt;=2026,AEO!$K17,AEO!$J17)))^Parameters!$H$6*IF(AK$13&gt;=2036,AEO!$L14,(IF(AK$13&gt;=2026,AEO!$K14,AEO!$J14)))^Parameters!$G$6</f>
        <v>5016.0267641082874</v>
      </c>
      <c r="AL28" s="22">
        <f>AK28*IF(AL$13&gt;=2036,AEO!$L17,(IF(AL$13&gt;=2026,AEO!$K17,AEO!$J17)))^Parameters!$H$6*IF(AL$13&gt;=2036,AEO!$L14,(IF(AL$13&gt;=2026,AEO!$K14,AEO!$J14)))^Parameters!$G$6</f>
        <v>5031.2103944347473</v>
      </c>
      <c r="AM28" s="22">
        <f>AL28*IF(AM$13&gt;=2036,AEO!$L17,(IF(AM$13&gt;=2026,AEO!$K17,AEO!$J17)))^Parameters!$H$6*IF(AM$13&gt;=2036,AEO!$L14,(IF(AM$13&gt;=2026,AEO!$K14,AEO!$J14)))^Parameters!$G$6</f>
        <v>5046.4399859653104</v>
      </c>
      <c r="AP28" s="6">
        <f>ROW()</f>
        <v>28</v>
      </c>
    </row>
    <row r="29" spans="2:42" ht="14" customHeight="1">
      <c r="B29" s="768" t="str">
        <f>CONCATENATE("2005-2011 figures are from EIA/MER, Table 7.06. 2012 figure prorates 2011 based on actual yr-to-yr difference for first 11 months and assumption that Dec 2012 = Dec 2011. Figures for ",Q20, " and later apply (i) electricity income-elasticity in 'Parameters' page, Row ",Parameters!O6,", to assumed real GDP growth rate in 'AEO' tab, Row ",AEO!$P$17, "; and (ii) electricity price-elasticity in  'Parameters' page, Row ",Parameters!O6,", to assumed real electricity price changes in 'AEO' tab, Row ",AEO!$P$14, ". IF statement selects applicable rate for both income and price.")</f>
        <v>2005-2011 figures are from EIA/MER, Table 7.06. 2012 figure prorates 2011 based on actual yr-to-yr difference for first 11 months and assumption that Dec 2012 = Dec 2011. Figures for 2015 and later apply (i) electricity income-elasticity in 'Parameters' page, Row 6, to assumed real GDP growth rate in 'AEO' tab, Row 17; and (ii) electricity price-elasticity in  'Parameters' page, Row 6, to assumed real electricity price changes in 'AEO' tab, Row 14. IF statement selects applicable rate for both income and price.</v>
      </c>
      <c r="C29" s="738"/>
      <c r="D29" s="738"/>
      <c r="E29" s="738"/>
      <c r="F29" s="738"/>
      <c r="G29" s="738"/>
      <c r="H29" s="738"/>
      <c r="I29" s="738"/>
      <c r="J29" s="738"/>
      <c r="K29" s="738"/>
      <c r="L29" s="738"/>
      <c r="M29" s="738"/>
      <c r="N29" s="738"/>
      <c r="O29" s="738"/>
      <c r="P29" s="739"/>
      <c r="Q29" s="22"/>
      <c r="R29" s="22"/>
      <c r="S29" s="22"/>
      <c r="T29" s="22"/>
      <c r="U29" s="22"/>
      <c r="V29" s="22"/>
      <c r="W29" s="22"/>
      <c r="X29" s="22"/>
      <c r="Y29" s="22"/>
      <c r="Z29" s="22"/>
      <c r="AA29" s="22"/>
      <c r="AB29" s="22"/>
      <c r="AC29" s="22"/>
      <c r="AD29" s="22"/>
      <c r="AE29" s="22"/>
      <c r="AF29" s="22"/>
      <c r="AG29" s="22"/>
      <c r="AH29" s="22"/>
      <c r="AI29" s="22"/>
      <c r="AJ29" s="22"/>
      <c r="AK29" s="22"/>
      <c r="AL29" s="22"/>
      <c r="AM29" s="22"/>
      <c r="AP29" s="6">
        <f>ROW()</f>
        <v>29</v>
      </c>
    </row>
    <row r="30" spans="2:42" ht="14" customHeight="1">
      <c r="B30" s="738"/>
      <c r="C30" s="738"/>
      <c r="D30" s="738"/>
      <c r="E30" s="738"/>
      <c r="F30" s="738"/>
      <c r="G30" s="738"/>
      <c r="H30" s="738"/>
      <c r="I30" s="738"/>
      <c r="J30" s="738"/>
      <c r="K30" s="738"/>
      <c r="L30" s="738"/>
      <c r="M30" s="738"/>
      <c r="N30" s="738"/>
      <c r="O30" s="738"/>
      <c r="P30" s="739"/>
      <c r="AP30" s="6">
        <f>ROW()</f>
        <v>30</v>
      </c>
    </row>
    <row r="31" spans="2:42" ht="14" customHeight="1">
      <c r="B31" s="738"/>
      <c r="C31" s="738"/>
      <c r="D31" s="738"/>
      <c r="E31" s="738"/>
      <c r="F31" s="738"/>
      <c r="G31" s="738"/>
      <c r="H31" s="738"/>
      <c r="I31" s="738"/>
      <c r="J31" s="738"/>
      <c r="K31" s="738"/>
      <c r="L31" s="738"/>
      <c r="M31" s="738"/>
      <c r="N31" s="738"/>
      <c r="O31" s="738"/>
      <c r="P31" s="739"/>
      <c r="AP31" s="6">
        <f>ROW()</f>
        <v>31</v>
      </c>
    </row>
    <row r="32" spans="2:42" ht="14" customHeight="1" thickBot="1">
      <c r="B32" s="301" t="str">
        <f>CONCATENATE("Important Note: The unprecedentedly low ratio of CO2/kWh in 2012 shown in Cell P",AP41, " is reflected in our baseline for ",Q13, ". However, we have not used the *drop* from 2011 to 2012 in projecting post-2012 declines in CO2/kWh.")</f>
        <v>Important Note: The unprecedentedly low ratio of CO2/kWh in 2012 shown in Cell P41 is reflected in our baseline for 2015. However, we have not used the *drop* from 2011 to 2012 in projecting post-2012 declines in CO2/kWh.</v>
      </c>
      <c r="C32" s="302"/>
      <c r="D32" s="302"/>
      <c r="E32" s="302"/>
      <c r="F32" s="302"/>
      <c r="G32" s="302"/>
      <c r="H32" s="302"/>
      <c r="I32" s="302"/>
      <c r="J32" s="302"/>
      <c r="K32" s="308"/>
      <c r="L32" s="303"/>
      <c r="M32" s="304"/>
      <c r="N32" s="304"/>
      <c r="O32" s="304"/>
      <c r="P32" s="305"/>
      <c r="Q32" s="302"/>
      <c r="R32" s="306"/>
      <c r="S32" s="306"/>
      <c r="T32" s="302"/>
      <c r="U32" s="302"/>
      <c r="V32" s="302"/>
      <c r="W32" s="300"/>
      <c r="AP32" s="6">
        <f>ROW()</f>
        <v>32</v>
      </c>
    </row>
    <row r="33" spans="2:42" ht="14" customHeight="1" thickBot="1">
      <c r="B33" s="32" t="s">
        <v>400</v>
      </c>
      <c r="I33" s="299" t="s">
        <v>410</v>
      </c>
      <c r="J33" s="300"/>
      <c r="K33" s="298">
        <f>Emissions!M88</f>
        <v>0.9805614352923494</v>
      </c>
      <c r="M33" s="71"/>
      <c r="N33" s="71"/>
      <c r="O33" s="71"/>
      <c r="P33" s="27"/>
      <c r="AP33" s="6">
        <f>ROW()</f>
        <v>33</v>
      </c>
    </row>
    <row r="34" spans="2:42" ht="14" customHeight="1">
      <c r="B34" s="91" t="str">
        <f>CONCATENATE("Derived in, and copied from, 'Emissions', Cell M",Emissions!Q88, ".")</f>
        <v>Derived in, and copied from, 'Emissions', Cell M88.</v>
      </c>
      <c r="I34" s="483"/>
      <c r="J34" s="484"/>
      <c r="K34" s="481"/>
      <c r="M34" s="71"/>
      <c r="N34" s="71"/>
      <c r="O34" s="71"/>
      <c r="P34" s="27"/>
      <c r="Q34" s="207"/>
      <c r="R34" s="71"/>
      <c r="S34" s="71"/>
      <c r="T34" s="163"/>
      <c r="U34" s="163"/>
      <c r="V34" s="163"/>
      <c r="W34" s="482"/>
      <c r="AP34" s="6">
        <f>ROW()</f>
        <v>34</v>
      </c>
    </row>
    <row r="35" spans="2:42" ht="14" customHeight="1">
      <c r="B35" s="32" t="s">
        <v>401</v>
      </c>
      <c r="I35" s="49"/>
      <c r="K35" s="485">
        <f>3/4</f>
        <v>0.75</v>
      </c>
      <c r="N35" s="71"/>
      <c r="O35" s="71"/>
      <c r="P35" s="27"/>
      <c r="AP35" s="6">
        <f>ROW()</f>
        <v>35</v>
      </c>
    </row>
    <row r="36" spans="2:42" ht="14" customHeight="1">
      <c r="B36" s="91" t="s">
        <v>647</v>
      </c>
      <c r="M36" s="27"/>
      <c r="N36" s="71"/>
      <c r="O36" s="71"/>
      <c r="P36" s="27"/>
      <c r="R36" s="3"/>
      <c r="S36" s="3"/>
      <c r="AP36" s="6">
        <f>ROW()</f>
        <v>36</v>
      </c>
    </row>
    <row r="37" spans="2:42" ht="14" customHeight="1">
      <c r="B37" s="32" t="s">
        <v>404</v>
      </c>
      <c r="K37" s="309">
        <f>1-K35*(1-K33)</f>
        <v>0.98542107646926203</v>
      </c>
      <c r="O37" s="71"/>
      <c r="P37" s="27"/>
      <c r="R37" s="3"/>
      <c r="S37" s="3"/>
      <c r="AP37" s="6">
        <f>ROW()</f>
        <v>37</v>
      </c>
    </row>
    <row r="38" spans="2:42" ht="14" customHeight="1">
      <c r="B38" s="91" t="str">
        <f>CONCATENATE("Complement of product of Cell K",AP35, " and complement of Cell K",AP33, ".")</f>
        <v>Complement of product of Cell K35 and complement of Cell K33.</v>
      </c>
      <c r="O38" s="71"/>
      <c r="P38" s="27"/>
      <c r="Q38" s="207"/>
      <c r="R38" s="3"/>
      <c r="S38" s="3"/>
      <c r="AP38" s="6">
        <f>ROW()</f>
        <v>38</v>
      </c>
    </row>
    <row r="39" spans="2:42" ht="14" customHeight="1">
      <c r="B39" s="32" t="s">
        <v>412</v>
      </c>
      <c r="C39" s="164"/>
      <c r="D39" s="164"/>
      <c r="E39" s="164"/>
      <c r="K39" s="486">
        <f>1-K37</f>
        <v>1.4578923530737975E-2</v>
      </c>
      <c r="L39" s="91"/>
      <c r="M39" s="164"/>
      <c r="N39" s="164"/>
      <c r="O39" s="164"/>
      <c r="P39" s="27"/>
      <c r="R39" s="3"/>
      <c r="S39" s="3"/>
      <c r="AP39" s="6">
        <f>ROW()</f>
        <v>39</v>
      </c>
    </row>
    <row r="40" spans="2:42" ht="14" customHeight="1">
      <c r="B40" s="91" t="str">
        <f>CONCATENATE("Complement of Cell K",AP37, ".")</f>
        <v>Complement of Cell K37.</v>
      </c>
      <c r="O40" s="71"/>
      <c r="P40" s="27"/>
      <c r="AP40" s="6">
        <f>ROW()</f>
        <v>40</v>
      </c>
    </row>
    <row r="41" spans="2:42" ht="14" customHeight="1">
      <c r="B41" s="32" t="s">
        <v>402</v>
      </c>
      <c r="I41" s="171">
        <f>Emissions!G86</f>
        <v>1.3127019529516197</v>
      </c>
      <c r="J41" s="171">
        <f>Emissions!H86</f>
        <v>1.2794819173159859</v>
      </c>
      <c r="K41" s="171">
        <f>Emissions!I86</f>
        <v>1.2864792897010242</v>
      </c>
      <c r="L41" s="171">
        <f>Emissions!J86</f>
        <v>1.2698833673283527</v>
      </c>
      <c r="M41" s="172">
        <f>Emissions!K86</f>
        <v>1.204443143606029</v>
      </c>
      <c r="N41" s="186">
        <f>Emissions!L86</f>
        <v>1.2138281919251641</v>
      </c>
      <c r="O41" s="186">
        <f>Emissions!M86</f>
        <v>1.1668498751559522</v>
      </c>
      <c r="P41" s="307">
        <f>Emissions!N86</f>
        <v>1.1069876810124033</v>
      </c>
      <c r="Q41" s="172">
        <f>P41*$K$37^(Q13-2012)</f>
        <v>1.0592740386893331</v>
      </c>
      <c r="R41" s="172">
        <f t="shared" ref="R41:AM41" si="4">Q41*$K$37</f>
        <v>1.0438309634811853</v>
      </c>
      <c r="S41" s="172">
        <f t="shared" si="4"/>
        <v>1.0286130316855766</v>
      </c>
      <c r="T41" s="172">
        <f t="shared" si="4"/>
        <v>1.0136169609539121</v>
      </c>
      <c r="U41" s="172">
        <f t="shared" si="4"/>
        <v>0.99883951679070593</v>
      </c>
      <c r="V41" s="172">
        <f t="shared" si="4"/>
        <v>0.98427751185593493</v>
      </c>
      <c r="W41" s="172">
        <f t="shared" si="4"/>
        <v>0.96992780527756217</v>
      </c>
      <c r="X41" s="172">
        <f t="shared" si="4"/>
        <v>0.95578730197408412</v>
      </c>
      <c r="Y41" s="172">
        <f t="shared" si="4"/>
        <v>0.94185295198695362</v>
      </c>
      <c r="Z41" s="172">
        <f t="shared" si="4"/>
        <v>0.92812174982273599</v>
      </c>
      <c r="AA41" s="172">
        <f t="shared" si="4"/>
        <v>0.91459073380485556</v>
      </c>
      <c r="AB41" s="172">
        <f t="shared" si="4"/>
        <v>0.90125698543479305</v>
      </c>
      <c r="AC41" s="172">
        <f t="shared" si="4"/>
        <v>0.88811762876259581</v>
      </c>
      <c r="AD41" s="172">
        <f t="shared" si="4"/>
        <v>0.87516982976656554</v>
      </c>
      <c r="AE41" s="172">
        <f t="shared" si="4"/>
        <v>0.86241079574198987</v>
      </c>
      <c r="AF41" s="172">
        <f t="shared" si="4"/>
        <v>0.84983777469878452</v>
      </c>
      <c r="AG41" s="172">
        <f t="shared" si="4"/>
        <v>0.83744805476791839</v>
      </c>
      <c r="AH41" s="172">
        <f t="shared" si="4"/>
        <v>0.82523896361649163</v>
      </c>
      <c r="AI41" s="172">
        <f t="shared" si="4"/>
        <v>0.81320786787134136</v>
      </c>
      <c r="AJ41" s="172">
        <f t="shared" si="4"/>
        <v>0.80135217255105062</v>
      </c>
      <c r="AK41" s="172">
        <f t="shared" si="4"/>
        <v>0.78966932050623806</v>
      </c>
      <c r="AL41" s="172">
        <f t="shared" si="4"/>
        <v>0.77815679186800779</v>
      </c>
      <c r="AM41" s="172">
        <f t="shared" si="4"/>
        <v>0.76681210350443973</v>
      </c>
      <c r="AP41" s="6">
        <f>ROW()</f>
        <v>41</v>
      </c>
    </row>
    <row r="42" spans="2:42" ht="14" customHeight="1">
      <c r="B42" s="91" t="str">
        <f>CONCATENATE("Figures through 2012 are calc'd in 'Emissions' worksheet, Row ",Emissions!Q86, ". Subsequent figures are previous year's figure times ratio in Cell K",AP37, ".")</f>
        <v>Figures through 2012 are calc'd in 'Emissions' worksheet, Row 86. Subsequent figures are previous year's figure times ratio in Cell K37.</v>
      </c>
      <c r="M42" s="71"/>
      <c r="N42" s="71"/>
      <c r="O42" s="71"/>
      <c r="P42" s="27"/>
      <c r="AP42" s="6">
        <f>ROW()</f>
        <v>42</v>
      </c>
    </row>
    <row r="43" spans="2:42" ht="14" customHeight="1">
      <c r="B43" s="14" t="s">
        <v>110</v>
      </c>
      <c r="E43" s="126"/>
      <c r="F43" s="173" t="s">
        <v>442</v>
      </c>
      <c r="G43" s="124">
        <f>AVERAGE(I43:O43)</f>
        <v>1.0631082947905035</v>
      </c>
      <c r="I43" s="23">
        <f t="shared" ref="I43:O43" si="5">I44/I28</f>
        <v>1.0641346049151812</v>
      </c>
      <c r="J43" s="23">
        <f t="shared" si="5"/>
        <v>1.0649375981073912</v>
      </c>
      <c r="K43" s="23">
        <f t="shared" si="5"/>
        <v>1.0685084855003146</v>
      </c>
      <c r="L43" s="23">
        <f t="shared" si="5"/>
        <v>1.0657745008367203</v>
      </c>
      <c r="M43" s="165">
        <f t="shared" si="5"/>
        <v>1.0608324644742253</v>
      </c>
      <c r="N43" s="165">
        <f t="shared" si="5"/>
        <v>1.0614080885216375</v>
      </c>
      <c r="O43" s="23">
        <f t="shared" si="5"/>
        <v>1.056162321178054</v>
      </c>
      <c r="P43" s="286"/>
      <c r="AP43" s="6">
        <f>ROW()</f>
        <v>43</v>
      </c>
    </row>
    <row r="44" spans="2:42" ht="14" customHeight="1">
      <c r="B44" t="s">
        <v>89</v>
      </c>
      <c r="G44" s="174"/>
      <c r="H44" s="175"/>
      <c r="I44" s="176">
        <f>Energy!G8</f>
        <v>4055.4</v>
      </c>
      <c r="J44" s="176">
        <f>Energy!H8</f>
        <v>4064.7022280000001</v>
      </c>
      <c r="K44" s="176">
        <f>Energy!I8</f>
        <v>4156.7447240000001</v>
      </c>
      <c r="L44" s="176">
        <f>Energy!J8</f>
        <v>4119.3877599999996</v>
      </c>
      <c r="M44" s="177">
        <f>Energy!K8</f>
        <v>3950.330927</v>
      </c>
      <c r="N44" s="177">
        <f>Energy!L8</f>
        <v>4125.0599000000002</v>
      </c>
      <c r="O44" s="177">
        <f>Energy!M8</f>
        <v>4100.6560499999996</v>
      </c>
      <c r="P44" s="287">
        <f>Energy!N8</f>
        <v>4054.484989</v>
      </c>
      <c r="Q44" s="177">
        <f t="shared" ref="Q44:AM44" si="6">Q28*$G$43</f>
        <v>4256.1076319444819</v>
      </c>
      <c r="R44" s="177">
        <f>R28*$G$43</f>
        <v>4320.0731889052922</v>
      </c>
      <c r="S44" s="177">
        <f t="shared" si="6"/>
        <v>4385.0000919670774</v>
      </c>
      <c r="T44" s="177">
        <f t="shared" si="6"/>
        <v>4450.9027893167986</v>
      </c>
      <c r="U44" s="177">
        <f t="shared" si="6"/>
        <v>4517.7959462849649</v>
      </c>
      <c r="V44" s="177">
        <f t="shared" si="6"/>
        <v>4585.6944486091115</v>
      </c>
      <c r="W44" s="177">
        <f t="shared" si="6"/>
        <v>4654.6134057463314</v>
      </c>
      <c r="X44" s="177">
        <f t="shared" si="6"/>
        <v>4724.5681542355724</v>
      </c>
      <c r="Y44" s="177">
        <f t="shared" si="6"/>
        <v>4795.5742611104861</v>
      </c>
      <c r="Z44" s="177">
        <f t="shared" si="6"/>
        <v>4867.6475273635551</v>
      </c>
      <c r="AA44" s="177">
        <f t="shared" si="6"/>
        <v>4940.803991462295</v>
      </c>
      <c r="AB44" s="177">
        <f t="shared" si="6"/>
        <v>4978.6500167770309</v>
      </c>
      <c r="AC44" s="177">
        <f t="shared" si="6"/>
        <v>5016.7859385609663</v>
      </c>
      <c r="AD44" s="177">
        <f t="shared" si="6"/>
        <v>5055.2139773897643</v>
      </c>
      <c r="AE44" s="177">
        <f t="shared" si="6"/>
        <v>5093.9363708484607</v>
      </c>
      <c r="AF44" s="177">
        <f t="shared" si="6"/>
        <v>5132.9553736617527</v>
      </c>
      <c r="AG44" s="177">
        <f t="shared" si="6"/>
        <v>5172.2732578252826</v>
      </c>
      <c r="AH44" s="177">
        <f t="shared" si="6"/>
        <v>5211.892312737933</v>
      </c>
      <c r="AI44" s="177">
        <f t="shared" si="6"/>
        <v>5251.8148453351387</v>
      </c>
      <c r="AJ44" s="177">
        <f t="shared" si="6"/>
        <v>5292.0431802232097</v>
      </c>
      <c r="AK44" s="177">
        <f t="shared" si="6"/>
        <v>5332.579659814689</v>
      </c>
      <c r="AL44" s="177">
        <f t="shared" si="6"/>
        <v>5348.7215031597807</v>
      </c>
      <c r="AM44" s="177">
        <f t="shared" si="6"/>
        <v>5364.9122082421936</v>
      </c>
      <c r="AP44" s="6">
        <f>ROW()</f>
        <v>44</v>
      </c>
    </row>
    <row r="45" spans="2:42" ht="14" customHeight="1">
      <c r="B45" s="91" t="str">
        <f>CONCATENATE("Figures through 2012 are from Emissions worksheet, Row ",Emissions!Q9, ". From 2012, each figure is product of projected end-use TWh in Row ",AP28, " and empirical ratio of generation to sales in Cell G",AP43, ".")</f>
        <v>Figures through 2012 are from Emissions worksheet, Row 9. From 2012, each figure is product of projected end-use TWh in Row 28 and empirical ratio of generation to sales in Cell G43.</v>
      </c>
      <c r="M45" s="71"/>
      <c r="N45" s="71"/>
      <c r="O45" s="71"/>
      <c r="P45" s="27"/>
      <c r="AP45" s="6">
        <f>ROW()</f>
        <v>45</v>
      </c>
    </row>
    <row r="46" spans="2:42" ht="14" customHeight="1">
      <c r="B46" t="s">
        <v>105</v>
      </c>
      <c r="I46" s="18">
        <f>Emissions!G40</f>
        <v>2414.2999999999997</v>
      </c>
      <c r="J46" s="18">
        <f>Emissions!H40</f>
        <v>2358.6</v>
      </c>
      <c r="K46" s="18">
        <f>Emissions!I40</f>
        <v>2425.1999999999998</v>
      </c>
      <c r="L46" s="18">
        <f>Emissions!J40</f>
        <v>2372.4</v>
      </c>
      <c r="M46" s="18">
        <f>Emissions!K40</f>
        <v>2157.7999999999997</v>
      </c>
      <c r="N46" s="18">
        <f>Emissions!L40</f>
        <v>2270.7999999999997</v>
      </c>
      <c r="O46" s="18">
        <f>Emissions!M40</f>
        <v>2170</v>
      </c>
      <c r="P46" s="287">
        <f>Emissions!N40</f>
        <v>2035.4943018923852</v>
      </c>
      <c r="Q46" s="18">
        <f>Q44*Q41/Parameters!$H$14*1000</f>
        <v>2044.6187394042292</v>
      </c>
      <c r="R46" s="18">
        <f>R44*R41/Parameters!$H$14*1000</f>
        <v>2045.0912286096363</v>
      </c>
      <c r="S46" s="18">
        <f>S44*S41/Parameters!$H$14*1000</f>
        <v>2045.5638270021711</v>
      </c>
      <c r="T46" s="18">
        <f>T44*T41/Parameters!$H$14*1000</f>
        <v>2046.0365346070676</v>
      </c>
      <c r="U46" s="18">
        <f>U44*U41/Parameters!$H$14*1000</f>
        <v>2046.5093514495618</v>
      </c>
      <c r="V46" s="18">
        <f>V44*V41/Parameters!$H$14*1000</f>
        <v>2046.982277554898</v>
      </c>
      <c r="W46" s="18">
        <f>W44*W41/Parameters!$H$14*1000</f>
        <v>2047.4553129483256</v>
      </c>
      <c r="X46" s="18">
        <f>X44*X41/Parameters!$H$14*1000</f>
        <v>2047.9284576551001</v>
      </c>
      <c r="Y46" s="18">
        <f>Y44*Y41/Parameters!$H$14*1000</f>
        <v>2048.4017117004832</v>
      </c>
      <c r="Z46" s="18">
        <f>Z44*Z41/Parameters!$H$14*1000</f>
        <v>2048.87507510974</v>
      </c>
      <c r="AA46" s="18">
        <f>AA44*AA41/Parameters!$H$14*1000</f>
        <v>2049.3485479081446</v>
      </c>
      <c r="AB46" s="18">
        <f>AB44*AB41/Parameters!$H$14*1000</f>
        <v>2034.9401839706798</v>
      </c>
      <c r="AC46" s="18">
        <f>AC44*AC41/Parameters!$H$14*1000</f>
        <v>2020.6331209815414</v>
      </c>
      <c r="AD46" s="18">
        <f>AD44*AD41/Parameters!$H$14*1000</f>
        <v>2006.4266467237019</v>
      </c>
      <c r="AE46" s="18">
        <f>AE44*AE41/Parameters!$H$14*1000</f>
        <v>1992.3200539875218</v>
      </c>
      <c r="AF46" s="18">
        <f>AF44*AF41/Parameters!$H$14*1000</f>
        <v>1978.3126405355426</v>
      </c>
      <c r="AG46" s="18">
        <f>AG44*AG41/Parameters!$H$14*1000</f>
        <v>1964.4037090675315</v>
      </c>
      <c r="AH46" s="18">
        <f>AH44*AH41/Parameters!$H$14*1000</f>
        <v>1950.5925671857647</v>
      </c>
      <c r="AI46" s="18">
        <f>AI44*AI41/Parameters!$H$14*1000</f>
        <v>1936.8785273605654</v>
      </c>
      <c r="AJ46" s="18">
        <f>AJ44*AJ41/Parameters!$H$14*1000</f>
        <v>1923.2609068960726</v>
      </c>
      <c r="AK46" s="18">
        <f>AK44*AK41/Parameters!$H$14*1000</f>
        <v>1909.7390278962591</v>
      </c>
      <c r="AL46" s="18">
        <f>AL44*AL41/Parameters!$H$14*1000</f>
        <v>1887.5936351447815</v>
      </c>
      <c r="AM46" s="18">
        <f>AM44*AM41/Parameters!$H$14*1000</f>
        <v>1865.7050410516308</v>
      </c>
      <c r="AP46" s="6">
        <f>ROW()</f>
        <v>46</v>
      </c>
    </row>
    <row r="47" spans="2:42" ht="14" customHeight="1">
      <c r="B47" s="91" t="str">
        <f>CONCATENATE("Figures through 2012 are from Emissions worksheet, Row ",Emissions!Q40, ". From 2012, each figure is product of projected electricity generation TWh in Row ",AP44, " and projected ratio of CO2/kWh generated in Cell G",AP41, ".")</f>
        <v>Figures through 2012 are from Emissions worksheet, Row 40. From 2012, each figure is product of projected electricity generation TWh in Row 44 and projected ratio of CO2/kWh generated in Cell G41.</v>
      </c>
      <c r="I47" s="18"/>
      <c r="J47" s="18"/>
      <c r="K47" s="18"/>
      <c r="L47" s="18"/>
      <c r="M47" s="18"/>
      <c r="N47" s="18"/>
      <c r="O47" s="18"/>
      <c r="P47" s="287"/>
      <c r="Q47" s="18"/>
      <c r="R47" s="18"/>
      <c r="S47" s="18"/>
      <c r="T47" s="18"/>
      <c r="U47" s="18"/>
      <c r="V47" s="18"/>
      <c r="W47" s="18"/>
      <c r="X47" s="18"/>
      <c r="Y47" s="18"/>
      <c r="Z47" s="18"/>
      <c r="AA47" s="18"/>
      <c r="AB47" s="18"/>
      <c r="AC47" s="18"/>
      <c r="AD47" s="18"/>
      <c r="AE47" s="18"/>
      <c r="AF47" s="18"/>
      <c r="AG47" s="18"/>
      <c r="AH47" s="18"/>
      <c r="AI47" s="18"/>
      <c r="AJ47" s="18"/>
      <c r="AK47" s="18"/>
      <c r="AL47" s="18"/>
      <c r="AM47" s="18"/>
      <c r="AP47" s="6">
        <f>ROW()</f>
        <v>47</v>
      </c>
    </row>
    <row r="48" spans="2:42" ht="14" customHeight="1">
      <c r="B48" s="91"/>
      <c r="I48" s="18"/>
      <c r="J48" s="18"/>
      <c r="K48" s="18"/>
      <c r="L48" s="18"/>
      <c r="M48" s="18"/>
      <c r="N48" s="18"/>
      <c r="O48" s="18"/>
      <c r="P48" s="287"/>
      <c r="Q48" s="18"/>
      <c r="R48" s="18"/>
      <c r="S48" s="18"/>
      <c r="T48" s="18"/>
      <c r="U48" s="18"/>
      <c r="V48" s="18"/>
      <c r="W48" s="18"/>
      <c r="X48" s="18"/>
      <c r="Y48" s="18"/>
      <c r="Z48" s="18"/>
      <c r="AA48" s="18"/>
      <c r="AB48" s="18"/>
      <c r="AC48" s="18"/>
      <c r="AD48" s="18"/>
      <c r="AE48" s="18"/>
      <c r="AF48" s="18"/>
      <c r="AG48" s="18"/>
      <c r="AH48" s="18"/>
      <c r="AI48" s="18"/>
      <c r="AJ48" s="18"/>
      <c r="AK48" s="18"/>
      <c r="AL48" s="18"/>
      <c r="AM48" s="18"/>
      <c r="AP48" s="6">
        <f>ROW()</f>
        <v>48</v>
      </c>
    </row>
    <row r="49" spans="2:42" ht="14" customHeight="1" thickBot="1">
      <c r="B49" s="3"/>
      <c r="H49" s="19"/>
      <c r="I49" s="185">
        <v>2005</v>
      </c>
      <c r="J49" s="185">
        <v>2006</v>
      </c>
      <c r="K49" s="185">
        <f t="shared" ref="K49:AM49" si="7">K13</f>
        <v>2007</v>
      </c>
      <c r="L49" s="132">
        <f t="shared" si="7"/>
        <v>2008</v>
      </c>
      <c r="M49" s="132">
        <f t="shared" si="7"/>
        <v>2009</v>
      </c>
      <c r="N49" s="132">
        <f t="shared" si="7"/>
        <v>2010</v>
      </c>
      <c r="O49" s="132">
        <f t="shared" si="7"/>
        <v>2011</v>
      </c>
      <c r="P49" s="132">
        <f t="shared" si="7"/>
        <v>2012</v>
      </c>
      <c r="Q49" s="280">
        <f t="shared" si="7"/>
        <v>2015</v>
      </c>
      <c r="R49" s="280">
        <f t="shared" si="7"/>
        <v>2016</v>
      </c>
      <c r="S49" s="280">
        <f t="shared" si="7"/>
        <v>2017</v>
      </c>
      <c r="T49" s="280">
        <f t="shared" si="7"/>
        <v>2018</v>
      </c>
      <c r="U49" s="280">
        <f t="shared" si="7"/>
        <v>2019</v>
      </c>
      <c r="V49" s="280">
        <f t="shared" si="7"/>
        <v>2020</v>
      </c>
      <c r="W49" s="280">
        <f t="shared" si="7"/>
        <v>2021</v>
      </c>
      <c r="X49" s="280">
        <f t="shared" si="7"/>
        <v>2022</v>
      </c>
      <c r="Y49" s="280">
        <f t="shared" si="7"/>
        <v>2023</v>
      </c>
      <c r="Z49" s="280">
        <f t="shared" si="7"/>
        <v>2024</v>
      </c>
      <c r="AA49" s="280">
        <f t="shared" si="7"/>
        <v>2025</v>
      </c>
      <c r="AB49" s="280">
        <f t="shared" si="7"/>
        <v>2026</v>
      </c>
      <c r="AC49" s="280">
        <f t="shared" si="7"/>
        <v>2027</v>
      </c>
      <c r="AD49" s="280">
        <f t="shared" si="7"/>
        <v>2028</v>
      </c>
      <c r="AE49" s="280">
        <f t="shared" si="7"/>
        <v>2029</v>
      </c>
      <c r="AF49" s="280">
        <f t="shared" si="7"/>
        <v>2030</v>
      </c>
      <c r="AG49" s="280">
        <f t="shared" si="7"/>
        <v>2031</v>
      </c>
      <c r="AH49" s="280">
        <f t="shared" si="7"/>
        <v>2032</v>
      </c>
      <c r="AI49" s="280">
        <f t="shared" si="7"/>
        <v>2033</v>
      </c>
      <c r="AJ49" s="280">
        <f t="shared" si="7"/>
        <v>2034</v>
      </c>
      <c r="AK49" s="280">
        <f t="shared" si="7"/>
        <v>2035</v>
      </c>
      <c r="AL49" s="280">
        <f t="shared" si="7"/>
        <v>2036</v>
      </c>
      <c r="AM49" s="280">
        <f t="shared" si="7"/>
        <v>2037</v>
      </c>
      <c r="AP49" s="6">
        <f>ROW()</f>
        <v>49</v>
      </c>
    </row>
    <row r="50" spans="2:42" ht="14" customHeight="1">
      <c r="B50" s="857" t="str">
        <f>CONCATENATE("Rate at which each $",N50, "/ton CO2 charge is assumed to magnify baseline factor in Cell K",AP36, " by which CO2/kWh ratio changes each year, absent a carbon charge.")</f>
        <v>Rate at which each $10/ton CO2 charge is assumed to magnify baseline factor in Cell K36 by which CO2/kWh ratio changes each year, absent a carbon charge.</v>
      </c>
      <c r="C50" s="858"/>
      <c r="D50" s="858"/>
      <c r="E50" s="858"/>
      <c r="F50" s="858"/>
      <c r="G50" s="858"/>
      <c r="H50" s="858"/>
      <c r="I50" s="858"/>
      <c r="J50" s="859"/>
      <c r="K50" s="834">
        <v>3</v>
      </c>
      <c r="N50" s="295">
        <v>10</v>
      </c>
      <c r="O50" s="296" t="s">
        <v>26</v>
      </c>
      <c r="P50" s="27"/>
      <c r="Q50" s="20"/>
      <c r="S50" s="20"/>
      <c r="T50" s="20"/>
      <c r="U50" s="20"/>
      <c r="V50" s="20"/>
      <c r="W50" s="20"/>
      <c r="X50" s="20"/>
      <c r="Y50" s="20"/>
      <c r="Z50" s="20"/>
      <c r="AA50" s="20"/>
      <c r="AB50" s="20"/>
      <c r="AC50" s="20"/>
      <c r="AD50" s="20"/>
      <c r="AE50" s="20"/>
      <c r="AF50" s="20"/>
      <c r="AG50" s="20"/>
      <c r="AH50" s="20"/>
      <c r="AI50" s="20"/>
      <c r="AJ50" s="20"/>
      <c r="AK50" s="20"/>
      <c r="AL50" s="20"/>
      <c r="AM50" s="20"/>
      <c r="AP50" s="6">
        <f>ROW()</f>
        <v>50</v>
      </c>
    </row>
    <row r="51" spans="2:42" ht="14" customHeight="1">
      <c r="B51" s="860"/>
      <c r="C51" s="861"/>
      <c r="D51" s="861"/>
      <c r="E51" s="861"/>
      <c r="F51" s="861"/>
      <c r="G51" s="861"/>
      <c r="H51" s="861"/>
      <c r="I51" s="861"/>
      <c r="J51" s="862"/>
      <c r="K51" s="835"/>
      <c r="N51" s="71"/>
      <c r="O51" s="71"/>
      <c r="P51" s="27"/>
      <c r="Q51" s="20"/>
      <c r="S51" s="20"/>
      <c r="T51" s="20"/>
      <c r="U51" s="20"/>
      <c r="V51" s="20"/>
      <c r="W51" s="20"/>
      <c r="X51" s="20"/>
      <c r="Y51" s="20"/>
      <c r="Z51" s="20"/>
      <c r="AA51" s="20"/>
      <c r="AB51" s="20"/>
      <c r="AC51" s="20"/>
      <c r="AD51" s="20"/>
      <c r="AE51" s="20"/>
      <c r="AF51" s="20"/>
      <c r="AG51" s="20"/>
      <c r="AH51" s="20"/>
      <c r="AI51" s="20"/>
      <c r="AJ51" s="20"/>
      <c r="AK51" s="20"/>
      <c r="AL51" s="20"/>
      <c r="AM51" s="20"/>
      <c r="AP51" s="6">
        <f>ROW()</f>
        <v>51</v>
      </c>
    </row>
    <row r="52" spans="2:42" ht="14" customHeight="1">
      <c r="B52" s="856" t="str">
        <f>CONCATENATE("CTC estimate, intended to reflect increased penetration of wind, natural gas, nuclear and generation efficiencies as coal-burning grows more costly. Note that relative cost of a coal-fired kWh vis-a-vis natural gas rises by approx'ly ",ROUND(J122,1), "¢ per $10/ton CO2 rise in carbon tax. Ideally, impact would be modeled with time lag and, perhaps, attenuation (diminishing returns).")</f>
        <v>CTC estimate, intended to reflect increased penetration of wind, natural gas, nuclear and generation efficiencies as coal-burning grows more costly. Note that relative cost of a coal-fired kWh vis-a-vis natural gas rises by approx'ly 0.7¢ per $10/ton CO2 rise in carbon tax. Ideally, impact would be modeled with time lag and, perhaps, attenuation (diminishing returns).</v>
      </c>
      <c r="C52" s="735"/>
      <c r="D52" s="735"/>
      <c r="E52" s="735"/>
      <c r="F52" s="735"/>
      <c r="G52" s="735"/>
      <c r="H52" s="735"/>
      <c r="I52" s="735"/>
      <c r="J52" s="735"/>
      <c r="K52" s="735"/>
      <c r="L52" s="735"/>
      <c r="M52" s="736"/>
      <c r="P52" s="27"/>
      <c r="S52" s="91"/>
      <c r="T52" s="91"/>
      <c r="U52" s="91"/>
      <c r="V52" s="91"/>
      <c r="AP52" s="6">
        <f>ROW()</f>
        <v>52</v>
      </c>
    </row>
    <row r="53" spans="2:42" ht="14" customHeight="1">
      <c r="B53" s="737"/>
      <c r="C53" s="787"/>
      <c r="D53" s="787"/>
      <c r="E53" s="787"/>
      <c r="F53" s="787"/>
      <c r="G53" s="787"/>
      <c r="H53" s="787"/>
      <c r="I53" s="787"/>
      <c r="J53" s="787"/>
      <c r="K53" s="787"/>
      <c r="L53" s="787"/>
      <c r="M53" s="739"/>
      <c r="P53" s="27"/>
      <c r="Q53" s="32"/>
      <c r="S53" s="91"/>
      <c r="T53" s="91"/>
      <c r="U53" s="91"/>
      <c r="V53" s="91"/>
      <c r="AP53" s="6">
        <f>ROW()</f>
        <v>53</v>
      </c>
    </row>
    <row r="54" spans="2:42" ht="14" customHeight="1">
      <c r="B54" s="777"/>
      <c r="C54" s="788"/>
      <c r="D54" s="788"/>
      <c r="E54" s="788"/>
      <c r="F54" s="788"/>
      <c r="G54" s="788"/>
      <c r="H54" s="788"/>
      <c r="I54" s="788"/>
      <c r="J54" s="788"/>
      <c r="K54" s="788"/>
      <c r="L54" s="788"/>
      <c r="M54" s="778"/>
      <c r="P54" s="27"/>
      <c r="S54" s="3"/>
      <c r="T54" s="3"/>
      <c r="U54" s="3"/>
      <c r="AP54" s="6">
        <f>ROW()</f>
        <v>54</v>
      </c>
    </row>
    <row r="55" spans="2:42" ht="14" customHeight="1">
      <c r="B55" s="32" t="s">
        <v>403</v>
      </c>
      <c r="G55" s="91" t="s">
        <v>405</v>
      </c>
      <c r="I55" s="163"/>
      <c r="N55" s="163">
        <f>N41</f>
        <v>1.2138281919251641</v>
      </c>
      <c r="O55" s="163">
        <f>O41</f>
        <v>1.1668498751559522</v>
      </c>
      <c r="P55" s="284">
        <f>P41</f>
        <v>1.1069876810124033</v>
      </c>
      <c r="Q55" s="6">
        <f>Q41*(1-$K$50*$K$39)^(Summary!Q98/$N$50)</f>
        <v>0.84399734836570561</v>
      </c>
      <c r="R55" s="6">
        <f>R41*(1-$K$50*$K$39)^(Summary!R98/$N$50)</f>
        <v>0.83190896330812103</v>
      </c>
      <c r="S55" s="6">
        <f>S41*(1-$K$50*$K$39)^(Summary!S98/$N$50)</f>
        <v>0.81999347367680253</v>
      </c>
      <c r="T55" s="6">
        <f>T41*(1-$K$50*$K$39)^(Summary!T98/$N$50)</f>
        <v>0.80824841038837159</v>
      </c>
      <c r="U55" s="6">
        <f>U41*(1-$K$50*$K$39)^(Summary!U98/$N$50)</f>
        <v>0.79667133956161129</v>
      </c>
      <c r="V55" s="6">
        <f>V41*(1-$K$50*$K$39)^(Summary!V98/$N$50)</f>
        <v>0.78525986201648368</v>
      </c>
      <c r="W55" s="6">
        <f>W41*(1-$K$50*$K$39)^(Summary!W98/$N$50)</f>
        <v>0.77401161278026187</v>
      </c>
      <c r="X55" s="6">
        <f>X41*(1-$K$50*$K$39)^(Summary!X98/$N$50)</f>
        <v>0.76292426060067819</v>
      </c>
      <c r="Y55" s="6">
        <f>Y41*(1-$K$50*$K$39)^(Summary!Y98/$N$50)</f>
        <v>0.75199550746598653</v>
      </c>
      <c r="Z55" s="6">
        <f>Z41*(1-$K$50*$K$39)^(Summary!Z98/$N$50)</f>
        <v>0.7412230881318439</v>
      </c>
      <c r="AA55" s="6">
        <f>AA41*(1-$K$50*$K$39)^(Summary!AA98/$N$50)</f>
        <v>0.73060476965491206</v>
      </c>
      <c r="AB55" s="6">
        <f>AB41*(1-$K$50*$K$39)^(Summary!AB98/$N$50)</f>
        <v>0.72013835093308476</v>
      </c>
      <c r="AC55" s="6">
        <f>AC41*(1-$K$50*$K$39)^(Summary!AC98/$N$50)</f>
        <v>0.70982166225224763</v>
      </c>
      <c r="AD55" s="6">
        <f>AD41*(1-$K$50*$K$39)^(Summary!AD98/$N$50)</f>
        <v>0.69965256483947513</v>
      </c>
      <c r="AE55" s="6">
        <f>AE41*(1-$K$50*$K$39)^(Summary!AE98/$N$50)</f>
        <v>0.68962895042257866</v>
      </c>
      <c r="AF55" s="6">
        <f>AF41*(1-$K$50*$K$39)^(Summary!AF98/$N$50)</f>
        <v>0.67974874079590919</v>
      </c>
      <c r="AG55" s="6">
        <f>AG41*(1-$K$50*$K$39)^(Summary!AG98/$N$50)</f>
        <v>0.67000988739233114</v>
      </c>
      <c r="AH55" s="6">
        <f>AH41*(1-$K$50*$K$39)^(Summary!AH98/$N$50)</f>
        <v>0.66041037086127719</v>
      </c>
      <c r="AI55" s="6">
        <f>AI41*(1-$K$50*$K$39)^(Summary!AI98/$N$50)</f>
        <v>0.65094820065279868</v>
      </c>
      <c r="AJ55" s="6">
        <f>AJ41*(1-$K$50*$K$39)^(Summary!AJ98/$N$50)</f>
        <v>0.64162141460752653</v>
      </c>
      <c r="AK55" s="6">
        <f>AK41*(1-$K$50*$K$39)^(Summary!AK98/$N$50)</f>
        <v>0.63242807855245819</v>
      </c>
      <c r="AL55" s="6">
        <f>AL41*(1-$K$50*$K$39)^(Summary!AL98/$N$50)</f>
        <v>0.62336628590248999</v>
      </c>
      <c r="AM55" s="6">
        <f>AM41*(1-$K$50*$K$39)^(Summary!AM98/$N$50)</f>
        <v>0.61443415726760997</v>
      </c>
      <c r="AP55" s="6">
        <f>ROW()</f>
        <v>55</v>
      </c>
    </row>
    <row r="56" spans="2:42" ht="14" customHeight="1">
      <c r="B56" s="91" t="str">
        <f>CONCATENATE("Figures in Row ",AP55, " reduce Row ",AP41, " emission rates by a percentage calculated from Cells K",AP39, " and K",AP50, ", normalized by Cell O",AP50, ".")</f>
        <v>Figures in Row 55 reduce Row 41 emission rates by a percentage calculated from Cells K39 and K50, normalized by Cell O50.</v>
      </c>
      <c r="M56" s="71"/>
      <c r="N56" s="71"/>
      <c r="O56" s="71"/>
      <c r="P56" s="27"/>
      <c r="AP56" s="6">
        <f>ROW()</f>
        <v>56</v>
      </c>
    </row>
    <row r="57" spans="2:42" ht="14" customHeight="1">
      <c r="B57" s="32" t="s">
        <v>454</v>
      </c>
      <c r="H57" s="91" t="str">
        <f>CONCATENATE("Product of CO2 per kWh in Row ",AP55, " and carbon charge in $ per ton of CO2 in Row ",AP17, ", adjusted for dimensions.")</f>
        <v>Product of CO2 per kWh in Row 55 and carbon charge in $ per ton of CO2 in Row 17, adjusted for dimensions.</v>
      </c>
      <c r="M57" s="71"/>
      <c r="N57" s="71"/>
      <c r="O57" s="71"/>
      <c r="P57" s="27"/>
      <c r="Q57" s="20">
        <f t="shared" ref="Q57:AM57" si="8">Q55*Q17*100/(2000)</f>
        <v>2.3381096098748384</v>
      </c>
      <c r="R57" s="20">
        <f t="shared" si="8"/>
        <v>2.3422856074837535</v>
      </c>
      <c r="S57" s="20">
        <f t="shared" si="8"/>
        <v>2.3464683659943715</v>
      </c>
      <c r="T57" s="20">
        <f t="shared" si="8"/>
        <v>2.3506578957900732</v>
      </c>
      <c r="U57" s="20">
        <f t="shared" si="8"/>
        <v>2.3548542072700984</v>
      </c>
      <c r="V57" s="20">
        <f t="shared" si="8"/>
        <v>2.3590573108495754</v>
      </c>
      <c r="W57" s="20">
        <f t="shared" si="8"/>
        <v>2.3632672169595401</v>
      </c>
      <c r="X57" s="20">
        <f t="shared" si="8"/>
        <v>2.3674839360469666</v>
      </c>
      <c r="Y57" s="20">
        <f t="shared" si="8"/>
        <v>2.3717074785747827</v>
      </c>
      <c r="Z57" s="20">
        <f t="shared" si="8"/>
        <v>2.3759378550219044</v>
      </c>
      <c r="AA57" s="20">
        <f t="shared" si="8"/>
        <v>2.3801750758832521</v>
      </c>
      <c r="AB57" s="20">
        <f t="shared" si="8"/>
        <v>2.384419151669781</v>
      </c>
      <c r="AC57" s="20">
        <f t="shared" si="8"/>
        <v>2.3886700929085034</v>
      </c>
      <c r="AD57" s="20">
        <f t="shared" si="8"/>
        <v>2.3929279101425105</v>
      </c>
      <c r="AE57" s="20">
        <f t="shared" si="8"/>
        <v>2.3971926139310016</v>
      </c>
      <c r="AF57" s="20">
        <f t="shared" si="8"/>
        <v>2.4014642148493084</v>
      </c>
      <c r="AG57" s="20">
        <f t="shared" si="8"/>
        <v>2.405742723488915</v>
      </c>
      <c r="AH57" s="20">
        <f t="shared" si="8"/>
        <v>2.4100281504574883</v>
      </c>
      <c r="AI57" s="20">
        <f t="shared" si="8"/>
        <v>2.4143205063788993</v>
      </c>
      <c r="AJ57" s="20">
        <f t="shared" si="8"/>
        <v>2.4186198018932501</v>
      </c>
      <c r="AK57" s="20">
        <f t="shared" si="8"/>
        <v>2.4229260476568957</v>
      </c>
      <c r="AL57" s="20">
        <f t="shared" si="8"/>
        <v>2.4272392543424735</v>
      </c>
      <c r="AM57" s="20">
        <f t="shared" si="8"/>
        <v>2.4315594326389243</v>
      </c>
      <c r="AP57" s="6">
        <f>ROW()</f>
        <v>57</v>
      </c>
    </row>
    <row r="58" spans="2:42" ht="14" customHeight="1">
      <c r="B58" t="s">
        <v>8</v>
      </c>
      <c r="H58" s="289"/>
      <c r="I58" s="290"/>
      <c r="J58" s="291" t="str">
        <f>CONCATENATE("Complement of reciprocal of Cell G",AP43, "")</f>
        <v>Complement of reciprocal of Cell G43</v>
      </c>
      <c r="K58" s="290">
        <f>1-1/G43</f>
        <v>5.9362056621841797E-2</v>
      </c>
      <c r="M58" s="71"/>
      <c r="N58" s="71"/>
      <c r="O58" s="71"/>
      <c r="P58" s="27"/>
      <c r="Q58" s="3"/>
      <c r="AP58" s="6">
        <f>ROW()</f>
        <v>58</v>
      </c>
    </row>
    <row r="59" spans="2:42" ht="14" customHeight="1">
      <c r="H59" s="71"/>
      <c r="I59" s="471"/>
      <c r="J59" s="472"/>
      <c r="K59" s="471"/>
      <c r="M59" s="71"/>
      <c r="N59" s="71"/>
      <c r="O59" s="71"/>
      <c r="P59" s="27"/>
      <c r="Q59" s="3"/>
      <c r="AP59" s="6">
        <f>ROW()</f>
        <v>59</v>
      </c>
    </row>
    <row r="60" spans="2:42" ht="14" customHeight="1">
      <c r="B60" s="32" t="s">
        <v>406</v>
      </c>
      <c r="I60" s="20"/>
      <c r="L60" s="293" t="str">
        <f>CONCATENATE("Row ",AP57, " divided by complement of Cell K",AP58, ".")</f>
        <v>Row 57 divided by complement of Cell K58.</v>
      </c>
      <c r="M60" s="71"/>
      <c r="N60" s="125"/>
      <c r="O60" s="204"/>
      <c r="P60" s="288"/>
      <c r="Q60" s="6">
        <f t="shared" ref="Q60:AM60" si="9">Q57/(1-$K$58)</f>
        <v>2.4856637203873291</v>
      </c>
      <c r="R60" s="6">
        <f t="shared" si="9"/>
        <v>2.490103258084392</v>
      </c>
      <c r="S60" s="6">
        <f t="shared" si="9"/>
        <v>2.4945499833521354</v>
      </c>
      <c r="T60" s="6">
        <f t="shared" si="9"/>
        <v>2.4990039072292181</v>
      </c>
      <c r="U60" s="6">
        <f t="shared" si="9"/>
        <v>2.5034650407711574</v>
      </c>
      <c r="V60" s="6">
        <f t="shared" si="9"/>
        <v>2.5079333950503631</v>
      </c>
      <c r="W60" s="6">
        <f t="shared" si="9"/>
        <v>2.5124089811561556</v>
      </c>
      <c r="X60" s="6">
        <f t="shared" si="9"/>
        <v>2.5168918101948003</v>
      </c>
      <c r="Y60" s="6">
        <f t="shared" si="9"/>
        <v>2.5213818932895218</v>
      </c>
      <c r="Z60" s="6">
        <f t="shared" si="9"/>
        <v>2.5258792415805433</v>
      </c>
      <c r="AA60" s="6">
        <f t="shared" si="9"/>
        <v>2.5303838662251015</v>
      </c>
      <c r="AB60" s="6">
        <f t="shared" si="9"/>
        <v>2.5348957783974799</v>
      </c>
      <c r="AC60" s="6">
        <f t="shared" si="9"/>
        <v>2.5394149892890328</v>
      </c>
      <c r="AD60" s="6">
        <f t="shared" si="9"/>
        <v>2.5439415101082075</v>
      </c>
      <c r="AE60" s="6">
        <f t="shared" si="9"/>
        <v>2.548475352080577</v>
      </c>
      <c r="AF60" s="6">
        <f t="shared" si="9"/>
        <v>2.5530165264488636</v>
      </c>
      <c r="AG60" s="6">
        <f t="shared" si="9"/>
        <v>2.5575650444729625</v>
      </c>
      <c r="AH60" s="6">
        <f t="shared" si="9"/>
        <v>2.5621209174299717</v>
      </c>
      <c r="AI60" s="6">
        <f t="shared" si="9"/>
        <v>2.5666841566142167</v>
      </c>
      <c r="AJ60" s="6">
        <f t="shared" si="9"/>
        <v>2.5712547733372788</v>
      </c>
      <c r="AK60" s="6">
        <f t="shared" si="9"/>
        <v>2.5758327789280169</v>
      </c>
      <c r="AL60" s="6">
        <f t="shared" si="9"/>
        <v>2.5804181847326002</v>
      </c>
      <c r="AM60" s="6">
        <f t="shared" si="9"/>
        <v>2.5850110021145309</v>
      </c>
      <c r="AP60" s="6">
        <f>ROW()</f>
        <v>60</v>
      </c>
    </row>
    <row r="61" spans="2:42" ht="14" customHeight="1">
      <c r="B61" s="32" t="s">
        <v>435</v>
      </c>
      <c r="K61" s="65"/>
      <c r="L61" s="293" t="str">
        <f>CONCATENATE("Sum of Rows ",AP22, " and ",AP60, ".")</f>
        <v>Sum of Rows 22 and 60.</v>
      </c>
      <c r="M61" s="21">
        <f>M22+M60</f>
        <v>9.82</v>
      </c>
      <c r="N61" s="21">
        <f>N22+N60</f>
        <v>9.83</v>
      </c>
      <c r="O61" s="21">
        <f>O22+O60</f>
        <v>9.9</v>
      </c>
      <c r="P61" s="292">
        <f>P22+P60</f>
        <v>9.8000000000000007</v>
      </c>
      <c r="Q61" s="21">
        <f t="shared" ref="Q61:AM61" si="10">Q26+Q60</f>
        <v>12.683514728404074</v>
      </c>
      <c r="R61" s="21">
        <f t="shared" si="10"/>
        <v>12.824128663035061</v>
      </c>
      <c r="S61" s="21">
        <f t="shared" si="10"/>
        <v>12.966568155240932</v>
      </c>
      <c r="T61" s="21">
        <f t="shared" si="10"/>
        <v>13.110857497199435</v>
      </c>
      <c r="U61" s="21">
        <f t="shared" si="10"/>
        <v>13.257021305337158</v>
      </c>
      <c r="V61" s="21">
        <f t="shared" si="10"/>
        <v>13.40508452465912</v>
      </c>
      <c r="W61" s="21">
        <f t="shared" si="10"/>
        <v>13.555072433136143</v>
      </c>
      <c r="X61" s="21">
        <f t="shared" si="10"/>
        <v>13.707010646150838</v>
      </c>
      <c r="Y61" s="21">
        <f t="shared" si="10"/>
        <v>13.860925121002936</v>
      </c>
      <c r="Z61" s="21">
        <f t="shared" si="10"/>
        <v>14.016842161474806</v>
      </c>
      <c r="AA61" s="21">
        <f t="shared" si="10"/>
        <v>14.174788422457899</v>
      </c>
      <c r="AB61" s="21">
        <f t="shared" si="10"/>
        <v>14.465146638921087</v>
      </c>
      <c r="AC61" s="21">
        <f t="shared" si="10"/>
        <v>14.762529095955831</v>
      </c>
      <c r="AD61" s="21">
        <f t="shared" si="10"/>
        <v>15.067108056334519</v>
      </c>
      <c r="AE61" s="21">
        <f t="shared" si="10"/>
        <v>15.379060011270081</v>
      </c>
      <c r="AF61" s="21">
        <f t="shared" si="10"/>
        <v>15.698565784215166</v>
      </c>
      <c r="AG61" s="21">
        <f t="shared" si="10"/>
        <v>16.02581063720935</v>
      </c>
      <c r="AH61" s="21">
        <f t="shared" si="10"/>
        <v>16.360984379836989</v>
      </c>
      <c r="AI61" s="21">
        <f t="shared" si="10"/>
        <v>16.704281480859731</v>
      </c>
      <c r="AJ61" s="21">
        <f t="shared" si="10"/>
        <v>17.055901182589388</v>
      </c>
      <c r="AK61" s="21">
        <f t="shared" si="10"/>
        <v>17.416047618068426</v>
      </c>
      <c r="AL61" s="21">
        <f t="shared" si="10"/>
        <v>17.888611904849878</v>
      </c>
      <c r="AM61" s="21">
        <f t="shared" si="10"/>
        <v>18.375941087208357</v>
      </c>
      <c r="AN61" s="21"/>
      <c r="AP61" s="6">
        <f>ROW()</f>
        <v>61</v>
      </c>
    </row>
    <row r="62" spans="2:42" ht="14" customHeight="1">
      <c r="B62" s="32" t="s">
        <v>407</v>
      </c>
      <c r="L62" s="293" t="str">
        <f>CONCATENATE("Row ",AP61, ", adjusted for inflation.")</f>
        <v>Row 61, adjusted for inflation.</v>
      </c>
      <c r="M62" s="21">
        <f>M61/(AEO!$N$18)^(M49-$P$49)</f>
        <v>10.344836091508084</v>
      </c>
      <c r="N62" s="21">
        <f>N61/(AEO!$N$18)^(N49-$P$49)</f>
        <v>10.177199046467411</v>
      </c>
      <c r="O62" s="21">
        <f>O61/(AEO!$N$18)^(O49-$P$49)</f>
        <v>10.073318597314296</v>
      </c>
      <c r="P62" s="292">
        <f>P61/(AEO!$N$18)^(P49-$P$49)</f>
        <v>9.8000000000000007</v>
      </c>
      <c r="Q62" s="21">
        <f>Q61/(AEO!$N$18)^(Q49-$P$49)</f>
        <v>12.04002784879027</v>
      </c>
      <c r="R62" s="21">
        <f>R61/(AEO!$N$18)^(R49-$P$49)</f>
        <v>11.964054015597625</v>
      </c>
      <c r="S62" s="21">
        <f>S61/(AEO!$N$18)^(S49-$P$49)</f>
        <v>11.888804082370541</v>
      </c>
      <c r="T62" s="21">
        <f>T61/(AEO!$N$18)^(T49-$P$49)</f>
        <v>11.814268720272887</v>
      </c>
      <c r="U62" s="21">
        <f>U61/(AEO!$N$18)^(U49-$P$49)</f>
        <v>11.740438736593362</v>
      </c>
      <c r="V62" s="21">
        <f>V61/(AEO!$N$18)^(V49-$P$49)</f>
        <v>11.667305072684025</v>
      </c>
      <c r="W62" s="21">
        <f>W61/(AEO!$N$18)^(W49-$P$49)</f>
        <v>11.594858801930323</v>
      </c>
      <c r="X62" s="21">
        <f>X61/(AEO!$N$18)^(X49-$P$49)</f>
        <v>11.523091127752146</v>
      </c>
      <c r="Y62" s="21">
        <f>Y61/(AEO!$N$18)^(Y49-$P$49)</f>
        <v>11.451993381635416</v>
      </c>
      <c r="Z62" s="21">
        <f>Z61/(AEO!$N$18)^(Z49-$P$49)</f>
        <v>11.381557021193775</v>
      </c>
      <c r="AA62" s="21">
        <f>AA61/(AEO!$N$18)^(AA49-$P$49)</f>
        <v>11.311773628259875</v>
      </c>
      <c r="AB62" s="21">
        <f>AB61/(AEO!$N$18)^(AB49-$P$49)</f>
        <v>11.344871613829543</v>
      </c>
      <c r="AC62" s="21">
        <f>AC61/(AEO!$N$18)^(AC49-$P$49)</f>
        <v>11.378896208892401</v>
      </c>
      <c r="AD62" s="21">
        <f>AD61/(AEO!$N$18)^(AD49-$P$49)</f>
        <v>11.413843068046823</v>
      </c>
      <c r="AE62" s="21">
        <f>AE61/(AEO!$N$18)^(AE49-$P$49)</f>
        <v>11.449707981489183</v>
      </c>
      <c r="AF62" s="21">
        <f>AF61/(AEO!$N$18)^(AF49-$P$49)</f>
        <v>11.48648687340458</v>
      </c>
      <c r="AG62" s="21">
        <f>AG61/(AEO!$N$18)^(AG49-$P$49)</f>
        <v>11.524175800385505</v>
      </c>
      <c r="AH62" s="21">
        <f>AH61/(AEO!$N$18)^(AH49-$P$49)</f>
        <v>11.562770949878118</v>
      </c>
      <c r="AI62" s="21">
        <f>AI61/(AEO!$N$18)^(AI49-$P$49)</f>
        <v>11.602268638655682</v>
      </c>
      <c r="AJ62" s="21">
        <f>AJ61/(AEO!$N$18)^(AJ49-$P$49)</f>
        <v>11.642665311318769</v>
      </c>
      <c r="AK62" s="21">
        <f>AK61/(AEO!$N$18)^(AK49-$P$49)</f>
        <v>11.683957538821874</v>
      </c>
      <c r="AL62" s="21">
        <f>AL61/(AEO!$N$18)^(AL49-$P$49)</f>
        <v>11.794502677044839</v>
      </c>
      <c r="AM62" s="21">
        <f>AM61/(AEO!$N$18)^(AM49-$P$49)</f>
        <v>11.907352368243551</v>
      </c>
      <c r="AP62" s="6">
        <f>ROW()</f>
        <v>62</v>
      </c>
    </row>
    <row r="63" spans="2:42" ht="14" customHeight="1">
      <c r="B63" s="32" t="s">
        <v>411</v>
      </c>
      <c r="H63" s="5"/>
      <c r="I63" s="5"/>
      <c r="J63" s="5"/>
      <c r="M63" s="71"/>
      <c r="N63" s="71"/>
      <c r="O63" s="71"/>
      <c r="P63" s="27"/>
      <c r="Q63" s="15">
        <f t="shared" ref="Q63:AM63" si="11">(Q62/P62)^(1/(Q49-P49))-1</f>
        <v>7.1027129782879728E-2</v>
      </c>
      <c r="R63" s="15">
        <f t="shared" si="11"/>
        <v>-6.3101044405207141E-3</v>
      </c>
      <c r="S63" s="15">
        <f t="shared" si="11"/>
        <v>-6.2896684626281285E-3</v>
      </c>
      <c r="T63" s="15">
        <f t="shared" si="11"/>
        <v>-6.2693742432999855E-3</v>
      </c>
      <c r="U63" s="15">
        <f t="shared" si="11"/>
        <v>-6.2492216342460161E-3</v>
      </c>
      <c r="V63" s="15">
        <f t="shared" si="11"/>
        <v>-6.2292104707628582E-3</v>
      </c>
      <c r="W63" s="15">
        <f t="shared" si="11"/>
        <v>-6.2093405719985117E-3</v>
      </c>
      <c r="X63" s="15">
        <f t="shared" si="11"/>
        <v>-6.1896117412166829E-3</v>
      </c>
      <c r="Y63" s="15">
        <f t="shared" si="11"/>
        <v>-6.1700237660620161E-3</v>
      </c>
      <c r="Z63" s="15">
        <f t="shared" si="11"/>
        <v>-6.1505764188263257E-3</v>
      </c>
      <c r="AA63" s="15">
        <f t="shared" si="11"/>
        <v>-6.1312694567144943E-3</v>
      </c>
      <c r="AB63" s="15">
        <f t="shared" si="11"/>
        <v>2.9259766555953526E-3</v>
      </c>
      <c r="AC63" s="15">
        <f t="shared" si="11"/>
        <v>2.9991168010559122E-3</v>
      </c>
      <c r="AD63" s="15">
        <f t="shared" si="11"/>
        <v>3.0711993951673122E-3</v>
      </c>
      <c r="AE63" s="15">
        <f t="shared" si="11"/>
        <v>3.1422294163798714E-3</v>
      </c>
      <c r="AF63" s="15">
        <f t="shared" si="11"/>
        <v>3.2122122219062632E-3</v>
      </c>
      <c r="AG63" s="15">
        <f t="shared" si="11"/>
        <v>3.2811535325207863E-3</v>
      </c>
      <c r="AH63" s="15">
        <f t="shared" si="11"/>
        <v>3.3490594174485633E-3</v>
      </c>
      <c r="AI63" s="15">
        <f t="shared" si="11"/>
        <v>3.415936279355325E-3</v>
      </c>
      <c r="AJ63" s="15">
        <f t="shared" si="11"/>
        <v>3.4817908394653152E-3</v>
      </c>
      <c r="AK63" s="15">
        <f t="shared" si="11"/>
        <v>3.5466301228259667E-3</v>
      </c>
      <c r="AL63" s="15">
        <f t="shared" si="11"/>
        <v>9.4612752447671422E-3</v>
      </c>
      <c r="AM63" s="15">
        <f t="shared" si="11"/>
        <v>9.567990638413848E-3</v>
      </c>
      <c r="AP63" s="6">
        <f>ROW()</f>
        <v>63</v>
      </c>
    </row>
    <row r="64" spans="2:42" ht="14" customHeight="1">
      <c r="B64" s="32" t="s">
        <v>827</v>
      </c>
      <c r="K64" s="15"/>
      <c r="L64" s="91" t="str">
        <f>CONCATENATE("Calculated as excess of Row ",AP62, " over Row ",AP26, ".")</f>
        <v>Calculated as excess of Row 62 over Row 26.</v>
      </c>
      <c r="M64" s="71"/>
      <c r="N64" s="71"/>
      <c r="O64" s="71"/>
      <c r="P64" s="27"/>
      <c r="Q64" s="15">
        <f t="shared" ref="Q64:AM64" si="12">Q61/Q26-1</f>
        <v>0.24374387490396709</v>
      </c>
      <c r="R64" s="222">
        <f t="shared" si="12"/>
        <v>0.24096159632929415</v>
      </c>
      <c r="S64" s="222">
        <f t="shared" si="12"/>
        <v>0.2382110059786311</v>
      </c>
      <c r="T64" s="222">
        <f t="shared" si="12"/>
        <v>0.2354917438355113</v>
      </c>
      <c r="U64" s="222">
        <f t="shared" si="12"/>
        <v>0.23280345396251056</v>
      </c>
      <c r="V64" s="222">
        <f t="shared" si="12"/>
        <v>0.23014578445517131</v>
      </c>
      <c r="W64" s="222">
        <f t="shared" si="12"/>
        <v>0.2275183873964457</v>
      </c>
      <c r="X64" s="222">
        <f t="shared" si="12"/>
        <v>0.22492091881165166</v>
      </c>
      <c r="Y64" s="222">
        <f t="shared" si="12"/>
        <v>0.22235303862393341</v>
      </c>
      <c r="Z64" s="222">
        <f t="shared" si="12"/>
        <v>0.21981441061022822</v>
      </c>
      <c r="AA64" s="222">
        <f t="shared" si="12"/>
        <v>0.21730470235772459</v>
      </c>
      <c r="AB64" s="222">
        <f t="shared" si="12"/>
        <v>0.21247631822942448</v>
      </c>
      <c r="AC64" s="222">
        <f t="shared" si="12"/>
        <v>0.20775515692060575</v>
      </c>
      <c r="AD64" s="222">
        <f t="shared" si="12"/>
        <v>0.20313883878473127</v>
      </c>
      <c r="AE64" s="222">
        <f t="shared" si="12"/>
        <v>0.19862503695459499</v>
      </c>
      <c r="AF64" s="222">
        <f t="shared" si="12"/>
        <v>0.1942114761724818</v>
      </c>
      <c r="AG64" s="222">
        <f t="shared" si="12"/>
        <v>0.18989593164623408</v>
      </c>
      <c r="AH64" s="222">
        <f t="shared" si="12"/>
        <v>0.18567622793066207</v>
      </c>
      <c r="AI64" s="222">
        <f t="shared" si="12"/>
        <v>0.18155023783372548</v>
      </c>
      <c r="AJ64" s="222">
        <f t="shared" si="12"/>
        <v>0.17751588134694685</v>
      </c>
      <c r="AK64" s="222">
        <f t="shared" si="12"/>
        <v>0.17357112459951551</v>
      </c>
      <c r="AL64" s="222">
        <f t="shared" si="12"/>
        <v>0.16856451073920886</v>
      </c>
      <c r="AM64" s="222">
        <f t="shared" si="12"/>
        <v>0.16370226377955444</v>
      </c>
      <c r="AP64" s="7">
        <f>ROW()</f>
        <v>64</v>
      </c>
    </row>
    <row r="65" spans="2:42" ht="14" customHeight="1">
      <c r="B65" s="32"/>
      <c r="K65" s="15"/>
      <c r="L65" s="91"/>
      <c r="M65" s="71"/>
      <c r="N65" s="71"/>
      <c r="O65" s="71"/>
      <c r="P65" s="27"/>
      <c r="Q65" s="15"/>
      <c r="R65" s="222"/>
      <c r="S65" s="222"/>
      <c r="T65" s="222"/>
      <c r="U65" s="222"/>
      <c r="V65" s="222"/>
      <c r="W65" s="222"/>
      <c r="X65" s="222"/>
      <c r="Y65" s="222"/>
      <c r="Z65" s="222"/>
      <c r="AA65" s="222"/>
      <c r="AB65" s="222"/>
      <c r="AC65" s="222"/>
      <c r="AD65" s="222"/>
      <c r="AE65" s="222"/>
      <c r="AF65" s="222"/>
      <c r="AG65" s="222"/>
      <c r="AH65" s="222"/>
      <c r="AI65" s="222"/>
      <c r="AJ65" s="222"/>
      <c r="AK65" s="222"/>
      <c r="AL65" s="222"/>
      <c r="AM65" s="222"/>
      <c r="AP65" s="7">
        <f>ROW()</f>
        <v>65</v>
      </c>
    </row>
    <row r="66" spans="2:42" s="8" customFormat="1" ht="14" customHeight="1">
      <c r="I66" s="24"/>
      <c r="J66" s="13">
        <v>2006</v>
      </c>
      <c r="K66" s="13">
        <f t="shared" ref="K66:AM66" si="13">K13</f>
        <v>2007</v>
      </c>
      <c r="L66" s="13">
        <f t="shared" si="13"/>
        <v>2008</v>
      </c>
      <c r="M66" s="13">
        <f t="shared" si="13"/>
        <v>2009</v>
      </c>
      <c r="N66" s="13">
        <f t="shared" si="13"/>
        <v>2010</v>
      </c>
      <c r="O66" s="13">
        <f t="shared" si="13"/>
        <v>2011</v>
      </c>
      <c r="P66" s="283">
        <f t="shared" si="13"/>
        <v>2012</v>
      </c>
      <c r="Q66" s="13">
        <f t="shared" si="13"/>
        <v>2015</v>
      </c>
      <c r="R66" s="13">
        <f t="shared" si="13"/>
        <v>2016</v>
      </c>
      <c r="S66" s="13">
        <f t="shared" si="13"/>
        <v>2017</v>
      </c>
      <c r="T66" s="13">
        <f t="shared" si="13"/>
        <v>2018</v>
      </c>
      <c r="U66" s="13">
        <f t="shared" si="13"/>
        <v>2019</v>
      </c>
      <c r="V66" s="13">
        <f t="shared" si="13"/>
        <v>2020</v>
      </c>
      <c r="W66" s="13">
        <f t="shared" si="13"/>
        <v>2021</v>
      </c>
      <c r="X66" s="13">
        <f t="shared" si="13"/>
        <v>2022</v>
      </c>
      <c r="Y66" s="13">
        <f t="shared" si="13"/>
        <v>2023</v>
      </c>
      <c r="Z66" s="13">
        <f t="shared" si="13"/>
        <v>2024</v>
      </c>
      <c r="AA66" s="13">
        <f t="shared" si="13"/>
        <v>2025</v>
      </c>
      <c r="AB66" s="13">
        <f t="shared" si="13"/>
        <v>2026</v>
      </c>
      <c r="AC66" s="13">
        <f t="shared" si="13"/>
        <v>2027</v>
      </c>
      <c r="AD66" s="13">
        <f t="shared" si="13"/>
        <v>2028</v>
      </c>
      <c r="AE66" s="13">
        <f t="shared" si="13"/>
        <v>2029</v>
      </c>
      <c r="AF66" s="13">
        <f t="shared" si="13"/>
        <v>2030</v>
      </c>
      <c r="AG66" s="13">
        <f t="shared" si="13"/>
        <v>2031</v>
      </c>
      <c r="AH66" s="13">
        <f t="shared" si="13"/>
        <v>2032</v>
      </c>
      <c r="AI66" s="13">
        <f t="shared" si="13"/>
        <v>2033</v>
      </c>
      <c r="AJ66" s="13">
        <f t="shared" si="13"/>
        <v>2034</v>
      </c>
      <c r="AK66" s="13">
        <f t="shared" si="13"/>
        <v>2035</v>
      </c>
      <c r="AL66" s="13">
        <f t="shared" si="13"/>
        <v>2036</v>
      </c>
      <c r="AM66" s="13">
        <f t="shared" si="13"/>
        <v>2037</v>
      </c>
      <c r="AN66" s="25"/>
      <c r="AP66" s="7">
        <f>ROW()</f>
        <v>66</v>
      </c>
    </row>
    <row r="67" spans="2:42" s="8" customFormat="1" ht="14" customHeight="1">
      <c r="I67" s="24"/>
      <c r="J67" s="13"/>
      <c r="K67" s="13"/>
      <c r="L67" s="13"/>
      <c r="M67" s="13"/>
      <c r="N67" s="13"/>
      <c r="O67" s="13"/>
      <c r="P67" s="27"/>
      <c r="Q67" s="15"/>
      <c r="R67" s="13"/>
      <c r="S67" s="13"/>
      <c r="T67" s="13"/>
      <c r="U67" s="13"/>
      <c r="V67" s="13"/>
      <c r="W67" s="13"/>
      <c r="X67" s="13"/>
      <c r="Y67" s="13"/>
      <c r="Z67" s="13"/>
      <c r="AA67" s="13"/>
      <c r="AB67" s="13"/>
      <c r="AC67" s="13"/>
      <c r="AD67" s="13"/>
      <c r="AE67" s="13"/>
      <c r="AF67" s="13"/>
      <c r="AG67" s="13"/>
      <c r="AH67" s="13"/>
      <c r="AI67" s="13"/>
      <c r="AJ67" s="13"/>
      <c r="AK67" s="13"/>
      <c r="AL67" s="13"/>
      <c r="AM67" s="13"/>
      <c r="AN67" s="25"/>
      <c r="AP67" s="7">
        <f>ROW()</f>
        <v>67</v>
      </c>
    </row>
    <row r="68" spans="2:42" s="8" customFormat="1" ht="14" customHeight="1">
      <c r="B68" s="8" t="s">
        <v>480</v>
      </c>
      <c r="I68" s="24"/>
      <c r="J68" s="768" t="str">
        <f>CONCATENATE("Calculated as one plus % increase in gasoline price in Row ",AP60,", raised to the (negative) price-elasticity given in Cell F",Parameters!O16, " of the 'Parameters' tab; less one.")</f>
        <v>Calculated as one plus % increase in gasoline price in Row 60, raised to the (negative) price-elasticity given in Cell F16 of the 'Parameters' tab; less one.</v>
      </c>
      <c r="K68" s="768"/>
      <c r="L68" s="768"/>
      <c r="M68" s="768"/>
      <c r="N68" s="768"/>
      <c r="O68" s="768"/>
      <c r="P68" s="768"/>
      <c r="Q68" s="431">
        <f>(1+Q64)^Parameters!$G$6-1</f>
        <v>-0.14160272256502149</v>
      </c>
      <c r="R68" s="349">
        <f>(1+R64)^Parameters!$G$6-1</f>
        <v>-0.1402559858412038</v>
      </c>
      <c r="S68" s="349">
        <f>(1+S64)^Parameters!$G$6-1</f>
        <v>-0.13891953232413057</v>
      </c>
      <c r="T68" s="349">
        <f>(1+T64)^Parameters!$G$6-1</f>
        <v>-0.13759333013461394</v>
      </c>
      <c r="U68" s="349">
        <f>(1+U64)^Parameters!$G$6-1</f>
        <v>-0.13627734659934798</v>
      </c>
      <c r="V68" s="349">
        <f>(1+V64)^Parameters!$G$6-1</f>
        <v>-0.13497154826823987</v>
      </c>
      <c r="W68" s="349">
        <f>(1+W64)^Parameters!$G$6-1</f>
        <v>-0.13367590093169124</v>
      </c>
      <c r="X68" s="349">
        <f>(1+X64)^Parameters!$G$6-1</f>
        <v>-0.13239036963782502</v>
      </c>
      <c r="Y68" s="349">
        <f>(1+Y64)^Parameters!$G$6-1</f>
        <v>-0.13111491870964775</v>
      </c>
      <c r="Z68" s="349">
        <f>(1+Z64)^Parameters!$G$6-1</f>
        <v>-0.12984951176214665</v>
      </c>
      <c r="AA68" s="349">
        <f>(1+AA64)^Parameters!$G$6-1</f>
        <v>-0.12859411171931145</v>
      </c>
      <c r="AB68" s="349">
        <f>(1+AB64)^Parameters!$G$6-1</f>
        <v>-0.1261664507943735</v>
      </c>
      <c r="AC68" s="349">
        <f>(1+AC64)^Parameters!$G$6-1</f>
        <v>-0.12377675621586792</v>
      </c>
      <c r="AD68" s="349">
        <f>(1+AD64)^Parameters!$G$6-1</f>
        <v>-0.12142472443629126</v>
      </c>
      <c r="AE68" s="349">
        <f>(1+AE64)^Parameters!$G$6-1</f>
        <v>-0.11911004331213826</v>
      </c>
      <c r="AF68" s="349">
        <f>(1+AF64)^Parameters!$G$6-1</f>
        <v>-0.11683239257425204</v>
      </c>
      <c r="AG68" s="349">
        <f>(1+AG64)^Parameters!$G$6-1</f>
        <v>-0.11459144429126722</v>
      </c>
      <c r="AH68" s="349">
        <f>(1+AH64)^Parameters!$G$6-1</f>
        <v>-0.11238686332570558</v>
      </c>
      <c r="AI68" s="349">
        <f>(1+AI64)^Parameters!$G$6-1</f>
        <v>-0.11021830778230812</v>
      </c>
      <c r="AJ68" s="349">
        <f>(1+AJ64)^Parameters!$G$6-1</f>
        <v>-0.1080854294482313</v>
      </c>
      <c r="AK68" s="349">
        <f>(1+AK64)^Parameters!$G$6-1</f>
        <v>-0.10598787422476397</v>
      </c>
      <c r="AL68" s="349">
        <f>(1+AL64)^Parameters!$G$6-1</f>
        <v>-0.10330837166099138</v>
      </c>
      <c r="AM68" s="349">
        <f>(1+AM64)^Parameters!$G$6-1</f>
        <v>-0.10068738683313327</v>
      </c>
      <c r="AN68" s="349"/>
      <c r="AP68" s="7">
        <f>ROW()</f>
        <v>68</v>
      </c>
    </row>
    <row r="69" spans="2:42" s="8" customFormat="1" ht="14" customHeight="1">
      <c r="I69" s="24"/>
      <c r="J69" s="768"/>
      <c r="K69" s="768"/>
      <c r="L69" s="768"/>
      <c r="M69" s="768"/>
      <c r="N69" s="768"/>
      <c r="O69" s="768"/>
      <c r="P69" s="768"/>
      <c r="Q69" s="348"/>
      <c r="R69" s="349"/>
      <c r="S69" s="349"/>
      <c r="T69" s="349"/>
      <c r="U69" s="349"/>
      <c r="V69" s="349"/>
      <c r="W69" s="349"/>
      <c r="X69" s="349"/>
      <c r="Y69" s="349"/>
      <c r="Z69" s="349"/>
      <c r="AA69" s="349"/>
      <c r="AB69" s="349"/>
      <c r="AC69" s="349"/>
      <c r="AD69" s="349"/>
      <c r="AE69" s="349"/>
      <c r="AF69" s="349"/>
      <c r="AG69" s="349"/>
      <c r="AH69" s="349"/>
      <c r="AI69" s="349"/>
      <c r="AJ69" s="349"/>
      <c r="AK69" s="349"/>
      <c r="AL69" s="349"/>
      <c r="AM69" s="349"/>
      <c r="AN69" s="349"/>
      <c r="AP69" s="7">
        <f>ROW()</f>
        <v>69</v>
      </c>
    </row>
    <row r="70" spans="2:42" s="8" customFormat="1" ht="14" customHeight="1">
      <c r="I70" s="24"/>
      <c r="J70" s="223"/>
      <c r="K70" s="223"/>
      <c r="L70" s="223"/>
      <c r="M70" s="223"/>
      <c r="N70" s="223"/>
      <c r="O70" s="223"/>
      <c r="P70" s="275"/>
      <c r="Q70" s="349"/>
      <c r="R70" s="349"/>
      <c r="S70" s="349"/>
      <c r="T70" s="349"/>
      <c r="U70" s="349"/>
      <c r="V70" s="349"/>
      <c r="W70" s="349"/>
      <c r="X70" s="349"/>
      <c r="Y70" s="349"/>
      <c r="Z70" s="349"/>
      <c r="AA70" s="349"/>
      <c r="AB70" s="349"/>
      <c r="AC70" s="349"/>
      <c r="AD70" s="349"/>
      <c r="AE70" s="349"/>
      <c r="AF70" s="349"/>
      <c r="AG70" s="349"/>
      <c r="AH70" s="349"/>
      <c r="AI70" s="349"/>
      <c r="AJ70" s="349"/>
      <c r="AK70" s="349"/>
      <c r="AL70" s="349"/>
      <c r="AM70" s="349"/>
      <c r="AN70" s="349"/>
      <c r="AP70" s="7">
        <f>ROW()</f>
        <v>70</v>
      </c>
    </row>
    <row r="71" spans="2:42" s="8" customFormat="1" ht="14" customHeight="1">
      <c r="B71" s="8" t="s">
        <v>609</v>
      </c>
      <c r="H71" s="24"/>
      <c r="I71" s="24"/>
      <c r="J71" s="91" t="str">
        <f>CONCATENATE("Product of Rows ",AP68, " and ",AP28, ".")</f>
        <v>Product of Rows 68 and 28.</v>
      </c>
      <c r="M71" s="113"/>
      <c r="N71"/>
      <c r="O71"/>
      <c r="P71" s="275"/>
      <c r="Q71" s="25">
        <f t="shared" ref="Q71:AM71" si="14">Q68*Q28</f>
        <v>-566.90031595686935</v>
      </c>
      <c r="R71" s="25">
        <f t="shared" si="14"/>
        <v>-569.94769675413625</v>
      </c>
      <c r="S71" s="25">
        <f t="shared" si="14"/>
        <v>-573.00104326377925</v>
      </c>
      <c r="T71" s="25">
        <f t="shared" si="14"/>
        <v>-576.06035047278317</v>
      </c>
      <c r="U71" s="25">
        <f t="shared" si="14"/>
        <v>-579.12561406392774</v>
      </c>
      <c r="V71" s="25">
        <f t="shared" si="14"/>
        <v>-582.19683041398207</v>
      </c>
      <c r="W71" s="25">
        <f t="shared" si="14"/>
        <v>-585.2739965917408</v>
      </c>
      <c r="X71" s="25">
        <f t="shared" si="14"/>
        <v>-588.3571103559143</v>
      </c>
      <c r="Y71" s="25">
        <f t="shared" si="14"/>
        <v>-591.44617015285951</v>
      </c>
      <c r="Z71" s="25">
        <f t="shared" si="14"/>
        <v>-594.54117511417996</v>
      </c>
      <c r="AA71" s="25">
        <f t="shared" si="14"/>
        <v>-597.64212505418016</v>
      </c>
      <c r="AB71" s="25">
        <f t="shared" si="14"/>
        <v>-590.8510030842034</v>
      </c>
      <c r="AC71" s="25">
        <f t="shared" si="14"/>
        <v>-584.09993896889091</v>
      </c>
      <c r="AD71" s="25">
        <f t="shared" si="14"/>
        <v>-577.38987380584888</v>
      </c>
      <c r="AE71" s="25">
        <f t="shared" si="14"/>
        <v>-570.72170797105923</v>
      </c>
      <c r="AF71" s="25">
        <f t="shared" si="14"/>
        <v>-564.09630159074493</v>
      </c>
      <c r="AG71" s="25">
        <f t="shared" si="14"/>
        <v>-557.51447504235148</v>
      </c>
      <c r="AH71" s="25">
        <f t="shared" si="14"/>
        <v>-550.97700948274633</v>
      </c>
      <c r="AI71" s="25">
        <f t="shared" si="14"/>
        <v>-544.48464740171266</v>
      </c>
      <c r="AJ71" s="25">
        <f t="shared" si="14"/>
        <v>-538.03809319889319</v>
      </c>
      <c r="AK71" s="25">
        <f t="shared" si="14"/>
        <v>-531.63801378235894</v>
      </c>
      <c r="AL71" s="25">
        <f t="shared" si="14"/>
        <v>-519.76615333290795</v>
      </c>
      <c r="AM71" s="25">
        <f t="shared" si="14"/>
        <v>-508.11285499708083</v>
      </c>
      <c r="AP71" s="6">
        <f>ROW()</f>
        <v>71</v>
      </c>
    </row>
    <row r="72" spans="2:42" s="8" customFormat="1" ht="14" customHeight="1">
      <c r="B72" s="8" t="s">
        <v>607</v>
      </c>
      <c r="J72" s="91" t="str">
        <f>CONCATENATE("Sum of Rows ",AP28, " and ",AP71, ".")</f>
        <v>Sum of Rows 28 and 71.</v>
      </c>
      <c r="M72"/>
      <c r="N72"/>
      <c r="O72"/>
      <c r="P72" s="275"/>
      <c r="Q72" s="25">
        <f t="shared" ref="Q72:AM72" si="15">Q28+Q71</f>
        <v>3436.5560137514717</v>
      </c>
      <c r="R72" s="25">
        <f t="shared" si="15"/>
        <v>3493.6770629008593</v>
      </c>
      <c r="S72" s="25">
        <f t="shared" si="15"/>
        <v>3551.6964249571674</v>
      </c>
      <c r="T72" s="25">
        <f t="shared" si="15"/>
        <v>3610.6276954462783</v>
      </c>
      <c r="U72" s="25">
        <f t="shared" si="15"/>
        <v>3670.4846734517414</v>
      </c>
      <c r="V72" s="25">
        <f t="shared" si="15"/>
        <v>3731.2813646863306</v>
      </c>
      <c r="W72" s="25">
        <f t="shared" si="15"/>
        <v>3793.0319846098928</v>
      </c>
      <c r="X72" s="25">
        <f t="shared" si="15"/>
        <v>3855.7509615941754</v>
      </c>
      <c r="Y72" s="25">
        <f t="shared" si="15"/>
        <v>3919.4529401353388</v>
      </c>
      <c r="Z72" s="25">
        <f t="shared" si="15"/>
        <v>3984.1527841148518</v>
      </c>
      <c r="AA72" s="25">
        <f t="shared" si="15"/>
        <v>4049.8655801095078</v>
      </c>
      <c r="AB72" s="25">
        <f t="shared" si="15"/>
        <v>4092.2561094965758</v>
      </c>
      <c r="AC72" s="25">
        <f t="shared" si="15"/>
        <v>4134.879268647559</v>
      </c>
      <c r="AD72" s="25">
        <f t="shared" si="15"/>
        <v>4177.7362052225781</v>
      </c>
      <c r="AE72" s="25">
        <f t="shared" si="15"/>
        <v>4220.8281236030361</v>
      </c>
      <c r="AF72" s="25">
        <f t="shared" si="15"/>
        <v>4264.1562845423123</v>
      </c>
      <c r="AG72" s="25">
        <f t="shared" si="15"/>
        <v>4307.7220047882684</v>
      </c>
      <c r="AH72" s="25">
        <f t="shared" si="15"/>
        <v>4351.5266566794953</v>
      </c>
      <c r="AI72" s="25">
        <f t="shared" si="15"/>
        <v>4395.5716677172131</v>
      </c>
      <c r="AJ72" s="25">
        <f t="shared" si="15"/>
        <v>4439.8585201146752</v>
      </c>
      <c r="AK72" s="25">
        <f t="shared" si="15"/>
        <v>4484.3887503259284</v>
      </c>
      <c r="AL72" s="25">
        <f t="shared" si="15"/>
        <v>4511.444241101839</v>
      </c>
      <c r="AM72" s="25">
        <f t="shared" si="15"/>
        <v>4538.3271309682295</v>
      </c>
      <c r="AP72" s="6">
        <f>ROW()</f>
        <v>72</v>
      </c>
    </row>
    <row r="73" spans="2:42" s="8" customFormat="1" ht="14" customHeight="1">
      <c r="B73" s="8" t="s">
        <v>608</v>
      </c>
      <c r="J73" s="91" t="str">
        <f>CONCATENATE("Product of Rows ",AP72, " and ",AP43, ".")</f>
        <v>Product of Rows 72 and 43.</v>
      </c>
      <c r="M73"/>
      <c r="N73"/>
      <c r="O73"/>
      <c r="P73" s="275"/>
      <c r="Q73" s="25">
        <f t="shared" ref="Q73:AM73" si="16">Q72*$G$43</f>
        <v>3653.4312037313771</v>
      </c>
      <c r="R73" s="25">
        <f t="shared" si="16"/>
        <v>3714.1570648892271</v>
      </c>
      <c r="S73" s="25">
        <f t="shared" si="16"/>
        <v>3775.8379299497419</v>
      </c>
      <c r="T73" s="25">
        <f t="shared" si="16"/>
        <v>3838.4882524292584</v>
      </c>
      <c r="U73" s="25">
        <f t="shared" si="16"/>
        <v>3902.1227022479588</v>
      </c>
      <c r="V73" s="25">
        <f t="shared" si="16"/>
        <v>3966.7561689952677</v>
      </c>
      <c r="W73" s="25">
        <f t="shared" si="16"/>
        <v>4032.4037652444626</v>
      </c>
      <c r="X73" s="25">
        <f t="shared" si="16"/>
        <v>4099.0808299172277</v>
      </c>
      <c r="Y73" s="25">
        <f t="shared" si="16"/>
        <v>4166.8029316989059</v>
      </c>
      <c r="Z73" s="25">
        <f t="shared" si="16"/>
        <v>4235.5858725051767</v>
      </c>
      <c r="AA73" s="25">
        <f t="shared" si="16"/>
        <v>4305.4456910009721</v>
      </c>
      <c r="AB73" s="25">
        <f t="shared" si="16"/>
        <v>4350.5114144129248</v>
      </c>
      <c r="AC73" s="25">
        <f t="shared" si="16"/>
        <v>4395.8244484565103</v>
      </c>
      <c r="AD73" s="25">
        <f t="shared" si="16"/>
        <v>4441.3860132187237</v>
      </c>
      <c r="AE73" s="25">
        <f t="shared" si="16"/>
        <v>4487.1973890874242</v>
      </c>
      <c r="AF73" s="25">
        <f t="shared" si="16"/>
        <v>4533.2599163799869</v>
      </c>
      <c r="AG73" s="25">
        <f t="shared" si="16"/>
        <v>4579.5749949419851</v>
      </c>
      <c r="AH73" s="25">
        <f t="shared" si="16"/>
        <v>4626.1440837179589</v>
      </c>
      <c r="AI73" s="25">
        <f t="shared" si="16"/>
        <v>4672.9687002962964</v>
      </c>
      <c r="AJ73" s="25">
        <f t="shared" si="16"/>
        <v>4720.0504204302006</v>
      </c>
      <c r="AK73" s="25">
        <f t="shared" si="16"/>
        <v>4767.3908775367145</v>
      </c>
      <c r="AL73" s="25">
        <f t="shared" si="16"/>
        <v>4796.1537942002133</v>
      </c>
      <c r="AM73" s="25">
        <f t="shared" si="16"/>
        <v>4824.7332174051126</v>
      </c>
      <c r="AP73" s="6">
        <f>ROW()</f>
        <v>73</v>
      </c>
    </row>
    <row r="74" spans="2:42" s="8" customFormat="1" ht="14" customHeight="1">
      <c r="B74" s="8" t="s">
        <v>112</v>
      </c>
      <c r="H74" s="24"/>
      <c r="I74" s="24"/>
      <c r="J74" s="91" t="str">
        <f>CONCATENATE("Product of Rows ",AP73, " and ",AP55, ", with appropriate conversion factors.")</f>
        <v>Product of Rows 73 and 55, with appropriate conversion factors.</v>
      </c>
      <c r="M74"/>
      <c r="N74"/>
      <c r="O74"/>
      <c r="P74" s="275"/>
      <c r="Q74" s="25">
        <f>Q73*Q55*1000000/(Parameters!$H$14*1000)</f>
        <v>1398.4064618529751</v>
      </c>
      <c r="R74" s="25">
        <f>R73*R55*1000000/(Parameters!$H$14*1000)</f>
        <v>1401.2882328415103</v>
      </c>
      <c r="S74" s="25">
        <f>S73*S55*1000000/(Parameters!$H$14*1000)</f>
        <v>1404.1553107574223</v>
      </c>
      <c r="T74" s="25">
        <f>T73*T55*1000000/(Parameters!$H$14*1000)</f>
        <v>1407.0077225942796</v>
      </c>
      <c r="U74" s="25">
        <f>U73*U55*1000000/(Parameters!$H$14*1000)</f>
        <v>1409.8454967499572</v>
      </c>
      <c r="V74" s="25">
        <f>V73*V55*1000000/(Parameters!$H$14*1000)</f>
        <v>1412.6686630014783</v>
      </c>
      <c r="W74" s="25">
        <f>W73*W55*1000000/(Parameters!$H$14*1000)</f>
        <v>1415.4772524798489</v>
      </c>
      <c r="X74" s="25">
        <f>X73*X55*1000000/(Parameters!$H$14*1000)</f>
        <v>1418.271297644905</v>
      </c>
      <c r="Y74" s="25">
        <f>Y73*Y55*1000000/(Parameters!$H$14*1000)</f>
        <v>1421.050832260172</v>
      </c>
      <c r="Z74" s="25">
        <f>Z73*Z55*1000000/(Parameters!$H$14*1000)</f>
        <v>1423.8158913677539</v>
      </c>
      <c r="AA74" s="25">
        <f>AA73*AA55*1000000/(Parameters!$H$14*1000)</f>
        <v>1426.5665112632651</v>
      </c>
      <c r="AB74" s="25">
        <f>AB73*AB55*1000000/(Parameters!$H$14*1000)</f>
        <v>1420.8481250298803</v>
      </c>
      <c r="AC74" s="25">
        <f>AC73*AC55*1000000/(Parameters!$H$14*1000)</f>
        <v>1415.080007697265</v>
      </c>
      <c r="AD74" s="25">
        <f>AD73*AD55*1000000/(Parameters!$H$14*1000)</f>
        <v>1409.2639980002955</v>
      </c>
      <c r="AE74" s="25">
        <f>AE73*AE55*1000000/(Parameters!$H$14*1000)</f>
        <v>1403.4019164513813</v>
      </c>
      <c r="AF74" s="25">
        <f>AF73*AF55*1000000/(Parameters!$H$14*1000)</f>
        <v>1397.4955645622967</v>
      </c>
      <c r="AG74" s="25">
        <f>AG73*AG55*1000000/(Parameters!$H$14*1000)</f>
        <v>1391.5467241114807</v>
      </c>
      <c r="AH74" s="25">
        <f>AH73*AH55*1000000/(Parameters!$H$14*1000)</f>
        <v>1385.5571564561815</v>
      </c>
      <c r="AI74" s="25">
        <f>AI73*AI55*1000000/(Parameters!$H$14*1000)</f>
        <v>1379.5286018887625</v>
      </c>
      <c r="AJ74" s="25">
        <f>AJ73*AJ55*1000000/(Parameters!$H$14*1000)</f>
        <v>1373.4627790364061</v>
      </c>
      <c r="AK74" s="25">
        <f>AK73*AK55*1000000/(Parameters!$H$14*1000)</f>
        <v>1367.3613843034295</v>
      </c>
      <c r="AL74" s="25">
        <f>AL73*AL55*1000000/(Parameters!$H$14*1000)</f>
        <v>1355.9004885749307</v>
      </c>
      <c r="AM74" s="25">
        <f>AM73*AM55*1000000/(Parameters!$H$14*1000)</f>
        <v>1344.4357770872357</v>
      </c>
      <c r="AP74" s="6">
        <f>ROW()</f>
        <v>74</v>
      </c>
    </row>
    <row r="75" spans="2:42" s="8" customFormat="1" ht="14" customHeight="1">
      <c r="B75" s="8" t="s">
        <v>328</v>
      </c>
      <c r="H75" s="24"/>
      <c r="I75" s="24"/>
      <c r="J75" s="91" t="str">
        <f>CONCATENATE("Row ",AP74, " less Row ",AP46, ".")</f>
        <v>Row 74 less Row 46.</v>
      </c>
      <c r="M75"/>
      <c r="N75"/>
      <c r="O75"/>
      <c r="P75" s="275"/>
      <c r="Q75" s="139">
        <f t="shared" ref="Q75:AM75" si="17">Q74-Q46</f>
        <v>-646.21227755125415</v>
      </c>
      <c r="R75" s="139">
        <f t="shared" si="17"/>
        <v>-643.80299576812604</v>
      </c>
      <c r="S75" s="139">
        <f t="shared" si="17"/>
        <v>-641.40851624474885</v>
      </c>
      <c r="T75" s="139">
        <f t="shared" si="17"/>
        <v>-639.02881201278797</v>
      </c>
      <c r="U75" s="139">
        <f t="shared" si="17"/>
        <v>-636.6638546996046</v>
      </c>
      <c r="V75" s="139">
        <f t="shared" si="17"/>
        <v>-634.31361455341971</v>
      </c>
      <c r="W75" s="139">
        <f t="shared" si="17"/>
        <v>-631.97806046847677</v>
      </c>
      <c r="X75" s="139">
        <f t="shared" si="17"/>
        <v>-629.65716001019518</v>
      </c>
      <c r="Y75" s="139">
        <f t="shared" si="17"/>
        <v>-627.35087944031125</v>
      </c>
      <c r="Z75" s="139">
        <f t="shared" si="17"/>
        <v>-625.05918374198609</v>
      </c>
      <c r="AA75" s="139">
        <f t="shared" si="17"/>
        <v>-622.78203664487955</v>
      </c>
      <c r="AB75" s="139">
        <f t="shared" si="17"/>
        <v>-614.09205894079946</v>
      </c>
      <c r="AC75" s="139">
        <f t="shared" si="17"/>
        <v>-605.55311328427638</v>
      </c>
      <c r="AD75" s="139">
        <f t="shared" si="17"/>
        <v>-597.16264872340639</v>
      </c>
      <c r="AE75" s="139">
        <f t="shared" si="17"/>
        <v>-588.91813753614042</v>
      </c>
      <c r="AF75" s="139">
        <f t="shared" si="17"/>
        <v>-580.81707597324589</v>
      </c>
      <c r="AG75" s="139">
        <f t="shared" si="17"/>
        <v>-572.85698495605084</v>
      </c>
      <c r="AH75" s="139">
        <f t="shared" si="17"/>
        <v>-565.03541072958319</v>
      </c>
      <c r="AI75" s="139">
        <f t="shared" si="17"/>
        <v>-557.34992547180286</v>
      </c>
      <c r="AJ75" s="139">
        <f t="shared" si="17"/>
        <v>-549.79812785966647</v>
      </c>
      <c r="AK75" s="139">
        <f t="shared" si="17"/>
        <v>-542.3776435928296</v>
      </c>
      <c r="AL75" s="139">
        <f t="shared" si="17"/>
        <v>-531.6931465698508</v>
      </c>
      <c r="AM75" s="139">
        <f t="shared" si="17"/>
        <v>-521.26926396439512</v>
      </c>
      <c r="AP75" s="6">
        <f>ROW()</f>
        <v>75</v>
      </c>
    </row>
    <row r="76" spans="2:42" s="8" customFormat="1" ht="14" customHeight="1">
      <c r="B76" s="8" t="s">
        <v>592</v>
      </c>
      <c r="H76" s="24"/>
      <c r="I76" s="24"/>
      <c r="J76" s="91" t="str">
        <f>CONCATENATE("Row ",AP74, " less Cell I",AP46, ".")</f>
        <v>Row 74 less Cell I46.</v>
      </c>
      <c r="M76" s="139"/>
      <c r="N76"/>
      <c r="O76"/>
      <c r="P76" s="275"/>
      <c r="Q76" s="26">
        <f t="shared" ref="Q76:AM76" si="18">Q74-$I$46</f>
        <v>-1015.8935381470246</v>
      </c>
      <c r="R76" s="26">
        <f t="shared" si="18"/>
        <v>-1013.0117671584894</v>
      </c>
      <c r="S76" s="26">
        <f t="shared" si="18"/>
        <v>-1010.1446892425774</v>
      </c>
      <c r="T76" s="26">
        <f t="shared" si="18"/>
        <v>-1007.2922774057201</v>
      </c>
      <c r="U76" s="26">
        <f t="shared" si="18"/>
        <v>-1004.4545032500425</v>
      </c>
      <c r="V76" s="26">
        <f t="shared" si="18"/>
        <v>-1001.6313369985214</v>
      </c>
      <c r="W76" s="26">
        <f t="shared" si="18"/>
        <v>-998.82274752015087</v>
      </c>
      <c r="X76" s="26">
        <f t="shared" si="18"/>
        <v>-996.02870235509477</v>
      </c>
      <c r="Y76" s="26">
        <f t="shared" si="18"/>
        <v>-993.24916773982773</v>
      </c>
      <c r="Z76" s="26">
        <f t="shared" si="18"/>
        <v>-990.48410863224581</v>
      </c>
      <c r="AA76" s="26">
        <f t="shared" si="18"/>
        <v>-987.73348873673467</v>
      </c>
      <c r="AB76" s="26">
        <f t="shared" si="18"/>
        <v>-993.45187497011943</v>
      </c>
      <c r="AC76" s="26">
        <f t="shared" si="18"/>
        <v>-999.21999230273468</v>
      </c>
      <c r="AD76" s="26">
        <f t="shared" si="18"/>
        <v>-1005.0360019997042</v>
      </c>
      <c r="AE76" s="26">
        <f t="shared" si="18"/>
        <v>-1010.8980835486184</v>
      </c>
      <c r="AF76" s="26">
        <f t="shared" si="18"/>
        <v>-1016.804435437703</v>
      </c>
      <c r="AG76" s="26">
        <f t="shared" si="18"/>
        <v>-1022.7532758885191</v>
      </c>
      <c r="AH76" s="26">
        <f t="shared" si="18"/>
        <v>-1028.7428435438183</v>
      </c>
      <c r="AI76" s="26">
        <f t="shared" si="18"/>
        <v>-1034.7713981112372</v>
      </c>
      <c r="AJ76" s="26">
        <f t="shared" si="18"/>
        <v>-1040.8372209635936</v>
      </c>
      <c r="AK76" s="26">
        <f t="shared" si="18"/>
        <v>-1046.9386156965702</v>
      </c>
      <c r="AL76" s="26">
        <f t="shared" si="18"/>
        <v>-1058.399511425069</v>
      </c>
      <c r="AM76" s="26">
        <f t="shared" si="18"/>
        <v>-1069.864222912764</v>
      </c>
      <c r="AN76" s="26"/>
      <c r="AP76" s="6">
        <f>ROW()</f>
        <v>76</v>
      </c>
    </row>
    <row r="77" spans="2:42" s="8" customFormat="1" ht="14" customHeight="1">
      <c r="B77" s="8" t="s">
        <v>408</v>
      </c>
      <c r="H77" s="24"/>
      <c r="I77" s="24"/>
      <c r="J77" s="91" t="str">
        <f>CONCATENATE("Product of Rows ",AP74, " and ",AP17, ".")</f>
        <v>Product of Rows 74 and 17.</v>
      </c>
      <c r="M77" s="139"/>
      <c r="N77"/>
      <c r="O77"/>
      <c r="P77" s="276"/>
      <c r="Q77" s="263">
        <f t="shared" ref="Q77:AM77" si="19">Q74*Q17/1000</f>
        <v>77.479570126629767</v>
      </c>
      <c r="R77" s="263">
        <f t="shared" si="19"/>
        <v>78.908087410649784</v>
      </c>
      <c r="S77" s="263">
        <f t="shared" si="19"/>
        <v>80.361761975045269</v>
      </c>
      <c r="T77" s="263">
        <f t="shared" si="19"/>
        <v>81.841022389753064</v>
      </c>
      <c r="U77" s="263">
        <f t="shared" si="19"/>
        <v>83.346304423335795</v>
      </c>
      <c r="V77" s="263">
        <f t="shared" si="19"/>
        <v>84.878051163954126</v>
      </c>
      <c r="W77" s="263">
        <f t="shared" si="19"/>
        <v>86.436713142371445</v>
      </c>
      <c r="X77" s="263">
        <f t="shared" si="19"/>
        <v>88.022748457025898</v>
      </c>
      <c r="Y77" s="263">
        <f t="shared" si="19"/>
        <v>89.636622901202941</v>
      </c>
      <c r="Z77" s="263">
        <f t="shared" si="19"/>
        <v>91.278810092344955</v>
      </c>
      <c r="AA77" s="263">
        <f t="shared" si="19"/>
        <v>92.949791603532532</v>
      </c>
      <c r="AB77" s="263">
        <f t="shared" si="19"/>
        <v>94.090183547248685</v>
      </c>
      <c r="AC77" s="263">
        <f t="shared" si="19"/>
        <v>95.239677040399826</v>
      </c>
      <c r="AD77" s="263">
        <f t="shared" si="19"/>
        <v>96.398336061203239</v>
      </c>
      <c r="AE77" s="263">
        <f t="shared" si="19"/>
        <v>97.566226198375048</v>
      </c>
      <c r="AF77" s="263">
        <f t="shared" si="19"/>
        <v>98.743414655757874</v>
      </c>
      <c r="AG77" s="263">
        <f t="shared" si="19"/>
        <v>99.929970256267268</v>
      </c>
      <c r="AH77" s="263">
        <f t="shared" si="19"/>
        <v>101.12596344519403</v>
      </c>
      <c r="AI77" s="263">
        <f t="shared" si="19"/>
        <v>102.33146629289887</v>
      </c>
      <c r="AJ77" s="263">
        <f t="shared" si="19"/>
        <v>103.54655249693462</v>
      </c>
      <c r="AK77" s="263">
        <f t="shared" si="19"/>
        <v>104.7712973836333</v>
      </c>
      <c r="AL77" s="263">
        <f t="shared" si="19"/>
        <v>105.59104543443401</v>
      </c>
      <c r="AM77" s="263">
        <f t="shared" si="19"/>
        <v>106.40930217458273</v>
      </c>
      <c r="AN77" s="25"/>
      <c r="AP77" s="6">
        <f>ROW()</f>
        <v>77</v>
      </c>
    </row>
    <row r="78" spans="2:42" s="8" customFormat="1" ht="14" customHeight="1">
      <c r="H78" s="24"/>
      <c r="I78" s="24"/>
      <c r="J78" s="91"/>
      <c r="M78" s="139"/>
      <c r="N78" s="198"/>
      <c r="O78" s="198"/>
      <c r="P78" s="276"/>
      <c r="Q78" s="67"/>
      <c r="R78" s="67"/>
      <c r="S78" s="67"/>
      <c r="T78" s="67"/>
      <c r="U78" s="67"/>
      <c r="V78" s="67"/>
      <c r="W78" s="67"/>
      <c r="X78" s="67"/>
      <c r="Y78" s="67"/>
      <c r="Z78" s="67"/>
      <c r="AA78" s="67"/>
      <c r="AB78" s="67"/>
      <c r="AC78" s="67"/>
      <c r="AD78" s="67"/>
      <c r="AE78" s="67"/>
      <c r="AF78" s="67"/>
      <c r="AG78" s="67"/>
      <c r="AH78" s="67"/>
      <c r="AI78" s="67"/>
      <c r="AJ78" s="67"/>
      <c r="AK78" s="67"/>
      <c r="AL78" s="67"/>
      <c r="AM78" s="67"/>
      <c r="AN78" s="25"/>
      <c r="AP78" s="6">
        <f>ROW()</f>
        <v>78</v>
      </c>
    </row>
    <row r="79" spans="2:42" ht="14" customHeight="1">
      <c r="B79" s="322" t="s">
        <v>409</v>
      </c>
      <c r="C79" s="8"/>
      <c r="D79" s="8"/>
      <c r="E79" s="8"/>
      <c r="F79" s="8"/>
      <c r="G79" s="8"/>
      <c r="H79" s="322">
        <f>-Parameters!G6</f>
        <v>0.7</v>
      </c>
      <c r="I79" s="322"/>
      <c r="J79" s="56"/>
      <c r="M79" s="71"/>
      <c r="N79" s="71"/>
      <c r="O79" s="71"/>
      <c r="P79" s="27"/>
      <c r="AP79" s="6">
        <f>ROW()</f>
        <v>79</v>
      </c>
    </row>
    <row r="80" spans="2:42" ht="14" customHeight="1">
      <c r="B80" s="91" t="str">
        <f>CONCATENATE("Sourced in 'Parameters' worksheet tab, Row ",Parameters!O6, ".")</f>
        <v>Sourced in 'Parameters' worksheet tab, Row 6.</v>
      </c>
      <c r="P80" s="27"/>
      <c r="AP80" s="6">
        <f>ROW()</f>
        <v>80</v>
      </c>
    </row>
    <row r="81" spans="2:42" ht="14" customHeight="1">
      <c r="P81" s="27"/>
      <c r="AP81" s="6">
        <f>ROW()</f>
        <v>81</v>
      </c>
    </row>
    <row r="82" spans="2:42" ht="14" customHeight="1">
      <c r="B82" s="8" t="s">
        <v>123</v>
      </c>
      <c r="D82" t="s">
        <v>91</v>
      </c>
      <c r="M82" s="71"/>
      <c r="N82" s="71"/>
      <c r="O82" s="71"/>
      <c r="P82" s="27"/>
      <c r="AP82" s="6">
        <f>ROW()</f>
        <v>82</v>
      </c>
    </row>
    <row r="83" spans="2:42" ht="14" customHeight="1">
      <c r="M83" s="71"/>
      <c r="N83" s="71"/>
      <c r="O83" s="71"/>
      <c r="P83" s="27"/>
      <c r="AP83" s="6">
        <f>ROW()</f>
        <v>83</v>
      </c>
    </row>
    <row r="84" spans="2:42" ht="14" customHeight="1">
      <c r="B84" s="738" t="s">
        <v>754</v>
      </c>
      <c r="C84" s="738"/>
      <c r="D84" s="738"/>
      <c r="E84" s="738"/>
      <c r="F84" s="738"/>
      <c r="G84" s="738"/>
      <c r="H84" s="738"/>
      <c r="I84" s="58"/>
      <c r="J84" s="58"/>
      <c r="M84" s="71"/>
      <c r="N84" s="71"/>
      <c r="O84" s="71"/>
      <c r="P84" s="27"/>
      <c r="AP84" s="6">
        <f>ROW()</f>
        <v>84</v>
      </c>
    </row>
    <row r="85" spans="2:42" ht="14" customHeight="1">
      <c r="B85" s="738"/>
      <c r="C85" s="738"/>
      <c r="D85" s="738"/>
      <c r="E85" s="738"/>
      <c r="F85" s="738"/>
      <c r="G85" s="738"/>
      <c r="H85" s="738"/>
      <c r="I85" s="58"/>
      <c r="J85" s="58"/>
      <c r="M85" s="71"/>
      <c r="N85" s="71"/>
      <c r="O85" s="71"/>
      <c r="P85" s="27"/>
      <c r="AP85" s="6">
        <f>ROW()</f>
        <v>85</v>
      </c>
    </row>
    <row r="86" spans="2:42" ht="14" customHeight="1">
      <c r="M86" s="71"/>
      <c r="N86" s="71"/>
      <c r="O86" s="71"/>
      <c r="P86" s="27"/>
      <c r="AP86" s="6">
        <f>ROW()</f>
        <v>86</v>
      </c>
    </row>
    <row r="87" spans="2:42" ht="14" customHeight="1">
      <c r="B87" s="13" t="s">
        <v>606</v>
      </c>
      <c r="F87" s="12"/>
      <c r="G87" s="12">
        <f>HLOOKUP(10,Q15:Z20,6)</f>
        <v>2024</v>
      </c>
      <c r="M87" s="71"/>
      <c r="N87" s="71"/>
      <c r="O87" s="71"/>
      <c r="P87" s="27"/>
      <c r="AP87" s="6">
        <f>ROW()</f>
        <v>87</v>
      </c>
    </row>
    <row r="88" spans="2:42" ht="14" customHeight="1">
      <c r="M88" s="71"/>
      <c r="N88" s="71"/>
      <c r="O88" s="71"/>
      <c r="P88" s="27"/>
      <c r="AP88" s="6">
        <f>ROW()</f>
        <v>88</v>
      </c>
    </row>
    <row r="89" spans="2:42" ht="14" customHeight="1">
      <c r="B89" s="32" t="s">
        <v>623</v>
      </c>
      <c r="G89" s="38">
        <f>HLOOKUP(G87,Q20:AM28,AP28-AP20+1)</f>
        <v>4578.6939592290319</v>
      </c>
      <c r="M89" s="71"/>
      <c r="N89" s="71"/>
      <c r="O89" s="71"/>
      <c r="P89" s="27"/>
      <c r="AP89" s="6">
        <f>ROW()</f>
        <v>89</v>
      </c>
    </row>
    <row r="90" spans="2:42" ht="14" customHeight="1">
      <c r="B90" s="32" t="s">
        <v>624</v>
      </c>
      <c r="G90" s="38">
        <f>HLOOKUP(G87,Q66:AM72,AP72-AP66+1)</f>
        <v>3984.1527841148518</v>
      </c>
      <c r="M90" s="71"/>
      <c r="N90" s="71"/>
      <c r="O90" s="71"/>
      <c r="P90" s="27"/>
      <c r="AP90" s="6">
        <f>ROW()</f>
        <v>90</v>
      </c>
    </row>
    <row r="91" spans="2:42" s="13" customFormat="1" ht="14" customHeight="1">
      <c r="B91" s="13" t="s">
        <v>7</v>
      </c>
      <c r="G91" s="39">
        <f>G90/G89</f>
        <v>0.87015048823785335</v>
      </c>
      <c r="M91" s="166"/>
      <c r="N91" s="166"/>
      <c r="O91" s="166"/>
      <c r="P91" s="283"/>
      <c r="AP91" s="6">
        <f>ROW()</f>
        <v>91</v>
      </c>
    </row>
    <row r="92" spans="2:42" ht="14" customHeight="1">
      <c r="M92" s="71"/>
      <c r="N92" s="71"/>
      <c r="O92" s="71"/>
      <c r="P92" s="27"/>
      <c r="AP92" s="6">
        <f>ROW()</f>
        <v>92</v>
      </c>
    </row>
    <row r="93" spans="2:42" ht="14" customHeight="1">
      <c r="B93" t="s">
        <v>125</v>
      </c>
      <c r="G93" s="21">
        <f>HLOOKUP(G87,Q20:AM41,AP41-AP20+1)</f>
        <v>0.92812174982273599</v>
      </c>
      <c r="M93" s="71"/>
      <c r="N93" s="71"/>
      <c r="O93" s="71"/>
      <c r="P93" s="27"/>
      <c r="AP93" s="6">
        <f>ROW()</f>
        <v>93</v>
      </c>
    </row>
    <row r="94" spans="2:42" ht="14" customHeight="1">
      <c r="B94" t="s">
        <v>126</v>
      </c>
      <c r="G94" s="21">
        <f>HLOOKUP(G87,Q49:AM55,AP55-AP49+1)</f>
        <v>0.7412230881318439</v>
      </c>
      <c r="M94" s="71"/>
      <c r="N94" s="71"/>
      <c r="O94" s="71"/>
      <c r="P94" s="27"/>
      <c r="AP94" s="6">
        <f>ROW()</f>
        <v>94</v>
      </c>
    </row>
    <row r="95" spans="2:42" s="13" customFormat="1" ht="14" customHeight="1">
      <c r="B95" s="13" t="s">
        <v>7</v>
      </c>
      <c r="G95" s="39">
        <f>G94/G93</f>
        <v>0.79862699939249537</v>
      </c>
      <c r="M95" s="166"/>
      <c r="N95" s="166"/>
      <c r="O95" s="166"/>
      <c r="P95" s="283"/>
      <c r="AP95" s="6">
        <f>ROW()</f>
        <v>95</v>
      </c>
    </row>
    <row r="96" spans="2:42" ht="14" customHeight="1">
      <c r="G96" s="21"/>
      <c r="M96" s="71"/>
      <c r="N96" s="71"/>
      <c r="O96" s="71"/>
      <c r="P96" s="27"/>
      <c r="AP96" s="6">
        <f>ROW()</f>
        <v>96</v>
      </c>
    </row>
    <row r="97" spans="2:42" ht="14" customHeight="1">
      <c r="B97" s="3" t="s">
        <v>165</v>
      </c>
      <c r="G97" s="21"/>
      <c r="M97" s="71"/>
      <c r="N97" s="71"/>
      <c r="O97" s="71"/>
      <c r="P97" s="27"/>
      <c r="AP97" s="6">
        <f>ROW()</f>
        <v>97</v>
      </c>
    </row>
    <row r="98" spans="2:42" ht="14" customHeight="1">
      <c r="B98" s="32" t="s">
        <v>621</v>
      </c>
      <c r="G98" s="38">
        <f>HLOOKUP(G87,Q20:AM46,AP46-AP20+1)</f>
        <v>2048.87507510974</v>
      </c>
      <c r="M98" s="71"/>
      <c r="N98" s="71"/>
      <c r="O98" s="71"/>
      <c r="P98" s="27"/>
      <c r="AP98" s="6">
        <f>ROW()</f>
        <v>98</v>
      </c>
    </row>
    <row r="99" spans="2:42" ht="14" customHeight="1">
      <c r="B99" s="32" t="s">
        <v>622</v>
      </c>
      <c r="G99" s="38">
        <f>HLOOKUP(G87,Q66:AM74,AP74-AP66+1)</f>
        <v>1423.8158913677539</v>
      </c>
      <c r="M99" s="71"/>
      <c r="N99" s="71"/>
      <c r="O99" s="71"/>
      <c r="P99" s="27"/>
      <c r="AP99" s="6">
        <f>ROW()</f>
        <v>99</v>
      </c>
    </row>
    <row r="100" spans="2:42" s="13" customFormat="1" ht="14" customHeight="1">
      <c r="B100" s="13" t="s">
        <v>7</v>
      </c>
      <c r="G100" s="57">
        <f>G99/G98</f>
        <v>0.69492567344131162</v>
      </c>
      <c r="H100"/>
      <c r="I100"/>
      <c r="J100"/>
      <c r="K100"/>
      <c r="L100"/>
      <c r="M100" s="71"/>
      <c r="N100" s="71"/>
      <c r="O100" s="71"/>
      <c r="P100" s="27"/>
      <c r="AP100" s="6">
        <f>ROW()</f>
        <v>100</v>
      </c>
    </row>
    <row r="101" spans="2:42" s="13" customFormat="1" ht="14" customHeight="1">
      <c r="G101" s="39"/>
      <c r="H101"/>
      <c r="I101"/>
      <c r="J101"/>
      <c r="K101"/>
      <c r="L101"/>
      <c r="M101" s="71"/>
      <c r="N101" s="71"/>
      <c r="O101" s="71"/>
      <c r="P101" s="27"/>
      <c r="AP101" s="6">
        <f>ROW()</f>
        <v>101</v>
      </c>
    </row>
    <row r="102" spans="2:42" s="13" customFormat="1" ht="14" customHeight="1">
      <c r="B102" s="13" t="s">
        <v>6</v>
      </c>
      <c r="G102" s="57">
        <f>G95*G91</f>
        <v>0.69492567344131162</v>
      </c>
      <c r="H102"/>
      <c r="I102"/>
      <c r="J102"/>
      <c r="K102"/>
      <c r="L102"/>
      <c r="M102" s="71"/>
      <c r="N102" s="71"/>
      <c r="O102" s="71"/>
      <c r="P102" s="27"/>
      <c r="AP102" s="6">
        <f>ROW()</f>
        <v>102</v>
      </c>
    </row>
    <row r="103" spans="2:42" ht="14" customHeight="1">
      <c r="G103" s="21"/>
      <c r="M103" s="71"/>
      <c r="N103" s="71"/>
      <c r="O103" s="71"/>
      <c r="P103" s="27"/>
      <c r="AP103" s="6">
        <f>ROW()</f>
        <v>103</v>
      </c>
    </row>
    <row r="104" spans="2:42" ht="14" customHeight="1">
      <c r="B104" t="s">
        <v>127</v>
      </c>
      <c r="G104" s="21"/>
      <c r="M104" s="71"/>
      <c r="N104" s="71"/>
      <c r="O104" s="71"/>
      <c r="P104" s="27"/>
      <c r="AP104" s="6">
        <f>ROW()</f>
        <v>104</v>
      </c>
    </row>
    <row r="105" spans="2:42" ht="14" customHeight="1">
      <c r="B105" t="s">
        <v>128</v>
      </c>
      <c r="G105" s="6">
        <f>(1-G91)/(1-G95)</f>
        <v>0.64482086163693741</v>
      </c>
      <c r="J105" s="32"/>
      <c r="M105" s="71"/>
      <c r="N105" s="71"/>
      <c r="O105" s="71"/>
      <c r="P105" s="27"/>
      <c r="AP105" s="6">
        <f>ROW()</f>
        <v>105</v>
      </c>
    </row>
    <row r="106" spans="2:42" ht="14" customHeight="1">
      <c r="M106" s="71"/>
      <c r="N106" s="71"/>
      <c r="O106" s="71"/>
      <c r="P106" s="27"/>
      <c r="AP106" s="6">
        <f>ROW()</f>
        <v>106</v>
      </c>
    </row>
    <row r="107" spans="2:42" ht="14" customHeight="1">
      <c r="B107" s="40" t="s">
        <v>129</v>
      </c>
      <c r="C107" s="41"/>
      <c r="D107" s="41"/>
      <c r="E107" s="41"/>
      <c r="F107" s="41"/>
      <c r="G107" s="72">
        <f>G105/(1+G105)</f>
        <v>0.39203105740962396</v>
      </c>
      <c r="M107" s="71"/>
      <c r="N107" s="71"/>
      <c r="O107" s="71"/>
      <c r="P107" s="27"/>
      <c r="AP107" s="6">
        <f>ROW()</f>
        <v>107</v>
      </c>
    </row>
    <row r="108" spans="2:42" ht="14" customHeight="1">
      <c r="B108" s="43" t="s">
        <v>130</v>
      </c>
      <c r="C108" s="44"/>
      <c r="D108" s="44"/>
      <c r="E108" s="44"/>
      <c r="F108" s="44"/>
      <c r="G108" s="45">
        <f>1-G107</f>
        <v>0.60796894259037604</v>
      </c>
      <c r="M108" s="71"/>
      <c r="N108" s="71"/>
      <c r="O108" s="71"/>
      <c r="P108" s="27"/>
      <c r="AP108" s="6">
        <f>ROW()</f>
        <v>108</v>
      </c>
    </row>
    <row r="109" spans="2:42" ht="14" customHeight="1">
      <c r="M109" s="71"/>
      <c r="N109" s="71"/>
      <c r="O109" s="71"/>
      <c r="P109" s="27"/>
      <c r="AP109" s="6">
        <f>ROW()</f>
        <v>109</v>
      </c>
    </row>
    <row r="110" spans="2:42" ht="14" customHeight="1">
      <c r="B110" s="32" t="s">
        <v>85</v>
      </c>
      <c r="G110" s="38">
        <f>G98-G99</f>
        <v>625.05918374198609</v>
      </c>
      <c r="M110" s="71"/>
      <c r="N110" s="71"/>
      <c r="O110" s="71"/>
      <c r="P110" s="27"/>
      <c r="AP110" s="6">
        <f>ROW()</f>
        <v>110</v>
      </c>
    </row>
    <row r="111" spans="2:42" ht="14" customHeight="1">
      <c r="B111" s="91" t="str">
        <f>CONCATENATE("Difference between Rows ",AP98," and ",AP99, ".")</f>
        <v>Difference between Rows 98 and 99.</v>
      </c>
      <c r="M111" s="71"/>
      <c r="N111" s="71"/>
      <c r="O111" s="71"/>
      <c r="P111" s="27"/>
      <c r="AP111" s="6">
        <f>ROW()</f>
        <v>111</v>
      </c>
    </row>
    <row r="112" spans="2:42" ht="14" customHeight="1">
      <c r="B112" s="32" t="s">
        <v>910</v>
      </c>
      <c r="G112" s="38">
        <f>G107*$G$110</f>
        <v>245.04261274596723</v>
      </c>
      <c r="M112" s="71"/>
      <c r="N112" s="71"/>
      <c r="O112" s="71"/>
      <c r="P112" s="27"/>
      <c r="AP112" s="6">
        <f>ROW()</f>
        <v>112</v>
      </c>
    </row>
    <row r="113" spans="2:42" ht="14" customHeight="1">
      <c r="B113" s="32" t="s">
        <v>911</v>
      </c>
      <c r="G113" s="38">
        <f>G108*$G$110</f>
        <v>380.01657099601886</v>
      </c>
      <c r="M113" s="71"/>
      <c r="N113" s="71"/>
      <c r="O113" s="71"/>
      <c r="P113" s="27"/>
      <c r="AP113" s="6">
        <f>ROW()</f>
        <v>113</v>
      </c>
    </row>
    <row r="114" spans="2:42" ht="14" customHeight="1">
      <c r="B114" s="91" t="str">
        <f>CONCATENATE("Product of Rows ",AP110," and Rows ",AP107, " and ",AP108, ", respectively.")</f>
        <v>Product of Rows 110 and Rows 107 and 108, respectively.</v>
      </c>
      <c r="M114" s="71"/>
      <c r="N114" s="71"/>
      <c r="O114" s="71"/>
      <c r="P114" s="27"/>
      <c r="AP114" s="6">
        <f>ROW()</f>
        <v>114</v>
      </c>
    </row>
    <row r="115" spans="2:42" ht="14" customHeight="1">
      <c r="B115" s="91"/>
      <c r="M115" s="71"/>
      <c r="N115" s="71"/>
      <c r="O115" s="71"/>
      <c r="P115" s="27"/>
      <c r="AP115" s="6"/>
    </row>
    <row r="116" spans="2:42" ht="14" customHeight="1">
      <c r="M116" s="71"/>
      <c r="N116" s="71"/>
      <c r="O116" s="71"/>
      <c r="P116" s="27"/>
      <c r="AP116" s="6">
        <f>ROW()</f>
        <v>116</v>
      </c>
    </row>
    <row r="117" spans="2:42" ht="14" customHeight="1">
      <c r="B117" s="848" t="s">
        <v>396</v>
      </c>
      <c r="C117" s="849"/>
      <c r="D117" s="849"/>
      <c r="E117" s="849"/>
      <c r="F117" s="849"/>
      <c r="G117" s="849"/>
      <c r="H117" s="849"/>
      <c r="I117" s="849"/>
      <c r="J117" s="849"/>
      <c r="K117" s="850"/>
      <c r="L117" s="18"/>
      <c r="M117" s="128"/>
      <c r="N117" s="128"/>
      <c r="O117" s="128"/>
      <c r="P117" s="27"/>
      <c r="AP117" s="6">
        <f>ROW()</f>
        <v>117</v>
      </c>
    </row>
    <row r="118" spans="2:42" ht="14" customHeight="1">
      <c r="B118" s="851"/>
      <c r="C118" s="852"/>
      <c r="D118" s="852"/>
      <c r="E118" s="852"/>
      <c r="F118" s="852"/>
      <c r="G118" s="852"/>
      <c r="H118" s="852"/>
      <c r="I118" s="852"/>
      <c r="J118" s="852"/>
      <c r="K118" s="853"/>
      <c r="L118" s="18"/>
      <c r="M118" s="128"/>
      <c r="N118" s="128"/>
      <c r="O118" s="128"/>
      <c r="P118" s="27"/>
      <c r="AP118" s="6">
        <f>ROW()</f>
        <v>118</v>
      </c>
    </row>
    <row r="119" spans="2:42" ht="14" customHeight="1">
      <c r="B119" s="851"/>
      <c r="C119" s="852"/>
      <c r="D119" s="852"/>
      <c r="E119" s="852"/>
      <c r="F119" s="852"/>
      <c r="G119" s="852"/>
      <c r="H119" s="852"/>
      <c r="I119" s="852"/>
      <c r="J119" s="854"/>
      <c r="K119" s="855"/>
      <c r="P119" s="27"/>
      <c r="AP119" s="6">
        <f>ROW()</f>
        <v>119</v>
      </c>
    </row>
    <row r="120" spans="2:42" ht="14" customHeight="1">
      <c r="B120" s="200"/>
      <c r="C120" s="201"/>
      <c r="D120" s="201"/>
      <c r="E120" s="200"/>
      <c r="F120" s="200"/>
      <c r="G120" s="200"/>
      <c r="H120" s="200"/>
      <c r="I120" s="239" t="s">
        <v>173</v>
      </c>
      <c r="J120" s="240">
        <f>L120/Parameters!$H$15*100*10</f>
        <v>1.04</v>
      </c>
      <c r="K120" s="202" t="s">
        <v>176</v>
      </c>
      <c r="L120" s="266">
        <v>2.08</v>
      </c>
      <c r="M120" s="833" t="s">
        <v>220</v>
      </c>
      <c r="N120" s="735"/>
      <c r="O120" s="736"/>
      <c r="P120" s="27"/>
      <c r="AP120" s="6">
        <f>ROW()</f>
        <v>120</v>
      </c>
    </row>
    <row r="121" spans="2:42" ht="14" customHeight="1">
      <c r="B121" s="200"/>
      <c r="C121" s="200"/>
      <c r="D121" s="200"/>
      <c r="E121" s="200"/>
      <c r="F121" s="200"/>
      <c r="G121" s="200"/>
      <c r="H121" s="200"/>
      <c r="I121" s="239" t="s">
        <v>175</v>
      </c>
      <c r="J121" s="240">
        <f>L121/Parameters!$H$15*100*10*(6000/10000)</f>
        <v>0.37440000000000001</v>
      </c>
      <c r="K121" s="202" t="s">
        <v>176</v>
      </c>
      <c r="L121" s="266">
        <f>L120*6000/10000</f>
        <v>1.248</v>
      </c>
      <c r="M121" s="737"/>
      <c r="N121" s="787"/>
      <c r="O121" s="739"/>
      <c r="P121" s="27"/>
      <c r="AP121" s="6">
        <f>ROW()</f>
        <v>121</v>
      </c>
    </row>
    <row r="122" spans="2:42" ht="14" customHeight="1">
      <c r="B122" s="200"/>
      <c r="C122" s="200"/>
      <c r="D122" s="200"/>
      <c r="E122" s="200"/>
      <c r="F122" s="200"/>
      <c r="G122" s="200"/>
      <c r="H122" s="200"/>
      <c r="I122" s="239" t="s">
        <v>219</v>
      </c>
      <c r="J122" s="241">
        <f>J120-J121</f>
        <v>0.66559999999999997</v>
      </c>
      <c r="K122" s="203" t="s">
        <v>176</v>
      </c>
      <c r="L122" s="267"/>
      <c r="M122" s="777"/>
      <c r="N122" s="788"/>
      <c r="O122" s="778"/>
      <c r="P122" s="27"/>
      <c r="AP122" s="6">
        <f>ROW()</f>
        <v>122</v>
      </c>
    </row>
    <row r="123" spans="2:42" ht="14" customHeight="1">
      <c r="M123" s="71"/>
      <c r="N123" s="71"/>
      <c r="O123" s="71"/>
      <c r="P123" s="27"/>
      <c r="AP123" s="6">
        <f>ROW()</f>
        <v>123</v>
      </c>
    </row>
    <row r="124" spans="2:42" ht="14" customHeight="1">
      <c r="AP124" s="6">
        <f>ROW()</f>
        <v>124</v>
      </c>
    </row>
    <row r="125" spans="2:42" ht="14" customHeight="1">
      <c r="AP125" s="6">
        <f>ROW()</f>
        <v>125</v>
      </c>
    </row>
    <row r="126" spans="2:42" ht="14" customHeight="1">
      <c r="B126" s="836" t="s">
        <v>879</v>
      </c>
      <c r="C126" s="837"/>
      <c r="D126" s="837"/>
      <c r="E126" s="837"/>
      <c r="F126" s="837"/>
      <c r="G126" s="837"/>
      <c r="H126" s="837"/>
      <c r="I126" s="837"/>
      <c r="J126" s="837"/>
      <c r="K126" s="837"/>
      <c r="AP126" s="6">
        <f>ROW()</f>
        <v>126</v>
      </c>
    </row>
    <row r="127" spans="2:42" ht="14" customHeight="1">
      <c r="B127" s="837"/>
      <c r="C127" s="837"/>
      <c r="D127" s="837"/>
      <c r="E127" s="837"/>
      <c r="F127" s="837"/>
      <c r="G127" s="837"/>
      <c r="H127" s="837"/>
      <c r="I127" s="837"/>
      <c r="J127" s="837"/>
      <c r="K127" s="837"/>
      <c r="AP127" s="6">
        <f>ROW()</f>
        <v>127</v>
      </c>
    </row>
    <row r="128" spans="2:42" ht="14" customHeight="1">
      <c r="B128" s="639"/>
      <c r="C128" s="639"/>
      <c r="D128" s="639"/>
      <c r="E128" s="639"/>
      <c r="F128" s="639"/>
      <c r="G128" s="639"/>
      <c r="H128" s="639"/>
      <c r="I128" s="639"/>
      <c r="J128" s="639"/>
      <c r="K128" s="639"/>
      <c r="AP128" s="6">
        <f>ROW()</f>
        <v>128</v>
      </c>
    </row>
    <row r="129" spans="2:42" ht="14" customHeight="1">
      <c r="B129" s="815" t="str">
        <f>CONCATENATE("All forecasts/estimates are for year 2023 (10th year of carbon tax assumed to start in 2014) and assume 'Larson' carbon tax bill discussed and linked to in 'Summary' worksheet tab, Rows ",Summary!AO32, "-",Summary!AO35, ".")</f>
        <v>All forecasts/estimates are for year 2023 (10th year of carbon tax assumed to start in 2014) and assume 'Larson' carbon tax bill discussed and linked to in 'Summary' worksheet tab, Rows 32-.</v>
      </c>
      <c r="C129" s="738"/>
      <c r="D129" s="738"/>
      <c r="E129" s="738"/>
      <c r="F129" s="738"/>
      <c r="G129" s="738"/>
      <c r="H129" s="738"/>
      <c r="I129" s="738"/>
      <c r="J129" s="738"/>
      <c r="K129" s="738"/>
      <c r="AP129" s="6">
        <f>ROW()</f>
        <v>129</v>
      </c>
    </row>
    <row r="130" spans="2:42" ht="14" customHeight="1">
      <c r="B130" s="738"/>
      <c r="C130" s="738"/>
      <c r="D130" s="738"/>
      <c r="E130" s="738"/>
      <c r="F130" s="738"/>
      <c r="G130" s="738"/>
      <c r="H130" s="738"/>
      <c r="I130" s="738"/>
      <c r="J130" s="738"/>
      <c r="K130" s="738"/>
      <c r="AP130" s="6">
        <f>ROW()</f>
        <v>130</v>
      </c>
    </row>
    <row r="131" spans="2:42" ht="14" customHeight="1">
      <c r="AP131" s="6">
        <f>ROW()</f>
        <v>131</v>
      </c>
    </row>
    <row r="132" spans="2:42" ht="14" customHeight="1">
      <c r="B132" s="32" t="s">
        <v>621</v>
      </c>
      <c r="K132" s="38">
        <v>2048.4017117004801</v>
      </c>
      <c r="AP132" s="6">
        <f>ROW()</f>
        <v>132</v>
      </c>
    </row>
    <row r="133" spans="2:42" ht="14" customHeight="1">
      <c r="B133" s="32" t="s">
        <v>622</v>
      </c>
      <c r="K133" s="38">
        <v>963.38552647627</v>
      </c>
      <c r="AP133" s="6">
        <f>ROW()</f>
        <v>133</v>
      </c>
    </row>
    <row r="134" spans="2:42" ht="14" customHeight="1">
      <c r="B134" s="768" t="str">
        <f>CONCATENATE("Copied from Rows ",AP98, " and ",AP99, ", but 'hard-wired' (i.e., converted from formulas to values) in order to remain tethered to Larson bill inputs.")</f>
        <v>Copied from Rows 98 and 99, but 'hard-wired' (i.e., converted from formulas to values) in order to remain tethered to Larson bill inputs.</v>
      </c>
      <c r="C134" s="738"/>
      <c r="D134" s="738"/>
      <c r="E134" s="738"/>
      <c r="F134" s="738"/>
      <c r="G134" s="738"/>
      <c r="H134" s="738"/>
      <c r="I134" s="738"/>
      <c r="AP134" s="6">
        <f>ROW()</f>
        <v>134</v>
      </c>
    </row>
    <row r="135" spans="2:42" ht="14" customHeight="1">
      <c r="B135" s="738"/>
      <c r="C135" s="738"/>
      <c r="D135" s="738"/>
      <c r="E135" s="738"/>
      <c r="F135" s="738"/>
      <c r="G135" s="738"/>
      <c r="H135" s="738"/>
      <c r="I135" s="738"/>
      <c r="AP135" s="6">
        <f>ROW()</f>
        <v>135</v>
      </c>
    </row>
    <row r="136" spans="2:42" ht="14" customHeight="1">
      <c r="AP136" s="6">
        <f>ROW()</f>
        <v>136</v>
      </c>
    </row>
    <row r="137" spans="2:42" ht="14" customHeight="1">
      <c r="B137" s="32" t="s">
        <v>856</v>
      </c>
      <c r="K137" s="4">
        <v>0.33233994536839301</v>
      </c>
      <c r="AP137" s="6">
        <f>ROW()</f>
        <v>137</v>
      </c>
    </row>
    <row r="138" spans="2:42" ht="14" customHeight="1">
      <c r="B138" s="32" t="s">
        <v>857</v>
      </c>
      <c r="K138" s="4">
        <v>0.66766005463160705</v>
      </c>
      <c r="AP138" s="6">
        <f>ROW()</f>
        <v>138</v>
      </c>
    </row>
    <row r="139" spans="2:42" ht="14" customHeight="1">
      <c r="B139" s="91" t="str">
        <f>CONCATENATE("Copied from Rows ",AP107, " and ",AP108, ", but also hard-wired for reason given in Row ",AP134, ".")</f>
        <v>Copied from Rows 107 and 108, but also hard-wired for reason given in Row 134.</v>
      </c>
      <c r="AP139" s="6">
        <f>ROW()</f>
        <v>139</v>
      </c>
    </row>
    <row r="140" spans="2:42" ht="14" customHeight="1">
      <c r="B140" s="91"/>
      <c r="AP140" s="6">
        <f>ROW()</f>
        <v>140</v>
      </c>
    </row>
    <row r="141" spans="2:42" ht="14" customHeight="1">
      <c r="B141" s="1" t="s">
        <v>829</v>
      </c>
      <c r="AP141" s="6">
        <f>ROW()</f>
        <v>141</v>
      </c>
    </row>
    <row r="142" spans="2:42" ht="14" customHeight="1">
      <c r="B142" s="32"/>
      <c r="AP142" s="6">
        <f>ROW()</f>
        <v>142</v>
      </c>
    </row>
    <row r="143" spans="2:42" ht="14" customHeight="1">
      <c r="B143" s="8" t="s">
        <v>859</v>
      </c>
      <c r="AP143" s="6">
        <f>ROW()</f>
        <v>143</v>
      </c>
    </row>
    <row r="144" spans="2:42" ht="14" customHeight="1">
      <c r="B144" s="32" t="s">
        <v>623</v>
      </c>
      <c r="G144" s="38"/>
      <c r="K144" s="38">
        <v>4510.8991102882001</v>
      </c>
      <c r="AP144" s="6">
        <f>ROW()</f>
        <v>144</v>
      </c>
    </row>
    <row r="145" spans="2:42" ht="14" customHeight="1">
      <c r="B145" s="32" t="s">
        <v>624</v>
      </c>
      <c r="G145" s="38"/>
      <c r="K145" s="38">
        <v>3591.77771012211</v>
      </c>
      <c r="AP145" s="6">
        <f>ROW()</f>
        <v>145</v>
      </c>
    </row>
    <row r="146" spans="2:42" ht="14" customHeight="1">
      <c r="B146" s="91" t="str">
        <f>CONCATENATE("Copied from, and hard-wired to values in, Cells G",AP89, " and G",AP90, ".")</f>
        <v>Copied from, and hard-wired to values in, Cells G89 and G90.</v>
      </c>
      <c r="AP146" s="6">
        <f>ROW()</f>
        <v>146</v>
      </c>
    </row>
    <row r="147" spans="2:42" ht="14" customHeight="1">
      <c r="B147" s="32" t="s">
        <v>830</v>
      </c>
      <c r="K147" s="38">
        <f>P28</f>
        <v>3828.2438070600001</v>
      </c>
      <c r="AP147" s="6">
        <f>ROW()</f>
        <v>147</v>
      </c>
    </row>
    <row r="148" spans="2:42" ht="14" customHeight="1">
      <c r="B148" s="91" t="str">
        <f>CONCATENATE("Copied from Cell P",AP28, ".")</f>
        <v>Copied from Cell P28.</v>
      </c>
      <c r="AP148" s="6">
        <f>ROW()</f>
        <v>148</v>
      </c>
    </row>
    <row r="149" spans="2:42" ht="14" customHeight="1">
      <c r="B149" s="32" t="s">
        <v>832</v>
      </c>
      <c r="K149" s="15">
        <f>K144/$K$147-1</f>
        <v>0.17832074905189055</v>
      </c>
      <c r="AP149" s="6">
        <f>ROW()</f>
        <v>149</v>
      </c>
    </row>
    <row r="150" spans="2:42" ht="14" customHeight="1">
      <c r="B150" s="91" t="str">
        <f>CONCATENATE("Ratio of Rows ",AP144, " and ",$AP$147, ", less one.")</f>
        <v>Ratio of Rows 144 and 147, less one.</v>
      </c>
      <c r="K150" s="15"/>
      <c r="AP150" s="6">
        <f>ROW()</f>
        <v>150</v>
      </c>
    </row>
    <row r="151" spans="2:42" ht="14" customHeight="1">
      <c r="B151" s="32" t="s">
        <v>833</v>
      </c>
      <c r="K151" s="15">
        <f>K145/$K$147-1</f>
        <v>-6.1768818511977241E-2</v>
      </c>
      <c r="AP151" s="6">
        <f>ROW()</f>
        <v>151</v>
      </c>
    </row>
    <row r="152" spans="2:42" ht="14" customHeight="1">
      <c r="B152" s="91" t="str">
        <f>CONCATENATE("Ratio of Rows ",AP145, " and ",$AP$147, ", less one.")</f>
        <v>Ratio of Rows 145 and 147, less one.</v>
      </c>
      <c r="K152" s="15"/>
      <c r="AP152" s="6">
        <f>ROW()</f>
        <v>152</v>
      </c>
    </row>
    <row r="153" spans="2:42" ht="14" customHeight="1">
      <c r="B153" s="32" t="s">
        <v>831</v>
      </c>
      <c r="K153" s="15">
        <f>(1+K149)^(1/11)-1</f>
        <v>1.5029121087237529E-2</v>
      </c>
      <c r="AP153" s="6">
        <f>ROW()</f>
        <v>153</v>
      </c>
    </row>
    <row r="154" spans="2:42" ht="14" customHeight="1">
      <c r="B154" s="32" t="s">
        <v>840</v>
      </c>
      <c r="K154" s="15">
        <f>(1+K151)^(1/11)-1</f>
        <v>-5.7794975466649579E-3</v>
      </c>
      <c r="AP154" s="6">
        <f>ROW()</f>
        <v>154</v>
      </c>
    </row>
    <row r="155" spans="2:42" ht="14" customHeight="1">
      <c r="B155" s="91" t="str">
        <f>CONCATENATE("Figures in Rows ",AP153, " and ",AP154, " are one-eleventh power of Rows ",AP149, " and ",AP151, ", respectively, less one.")</f>
        <v>Figures in Rows 153 and 154 are one-eleventh power of Rows 149 and 151, respectively, less one.</v>
      </c>
      <c r="K155" s="15"/>
      <c r="AP155" s="6">
        <f>ROW()</f>
        <v>155</v>
      </c>
    </row>
    <row r="156" spans="2:42" ht="14" customHeight="1">
      <c r="B156" s="397" t="s">
        <v>858</v>
      </c>
      <c r="C156" s="625"/>
      <c r="D156" s="625"/>
      <c r="E156" s="625"/>
      <c r="F156" s="625"/>
      <c r="G156" s="625"/>
      <c r="H156" s="625"/>
      <c r="I156" s="625"/>
      <c r="J156" s="625"/>
      <c r="K156" s="626">
        <f>K153-K154</f>
        <v>2.0808618633902487E-2</v>
      </c>
      <c r="AP156" s="6">
        <f>ROW()</f>
        <v>156</v>
      </c>
    </row>
    <row r="157" spans="2:42" ht="14" customHeight="1">
      <c r="B157" s="91" t="str">
        <f>CONCATENATE("Row ",AP153, " less Row ",AP154, ".")</f>
        <v>Row 153 less Row 154.</v>
      </c>
      <c r="K157" s="16"/>
      <c r="AP157" s="6">
        <f>ROW()</f>
        <v>157</v>
      </c>
    </row>
    <row r="158" spans="2:42" ht="14" customHeight="1">
      <c r="B158" s="91"/>
      <c r="K158" s="16"/>
      <c r="AP158" s="6">
        <f>ROW()</f>
        <v>158</v>
      </c>
    </row>
    <row r="159" spans="2:42" ht="14" customHeight="1">
      <c r="B159" s="8" t="s">
        <v>860</v>
      </c>
      <c r="K159" s="16"/>
      <c r="AP159" s="6">
        <f>ROW()</f>
        <v>159</v>
      </c>
    </row>
    <row r="160" spans="2:42" ht="14" customHeight="1">
      <c r="J160" s="574" t="s">
        <v>836</v>
      </c>
      <c r="K160" s="574" t="s">
        <v>837</v>
      </c>
      <c r="AP160" s="6">
        <f>ROW()</f>
        <v>160</v>
      </c>
    </row>
    <row r="161" spans="2:42" ht="14" customHeight="1">
      <c r="B161" s="32" t="s">
        <v>861</v>
      </c>
      <c r="J161" s="21">
        <f>P61</f>
        <v>9.8000000000000007</v>
      </c>
      <c r="K161" s="21">
        <f>J161</f>
        <v>9.8000000000000007</v>
      </c>
      <c r="AP161" s="6">
        <f>ROW()</f>
        <v>161</v>
      </c>
    </row>
    <row r="162" spans="2:42" ht="14" customHeight="1">
      <c r="B162" s="91" t="str">
        <f>CONCATENATE("Copied from Cells P",AP61, " and J",AP161, ", respectively.")</f>
        <v>Copied from Cells P61 and J161, respectively.</v>
      </c>
      <c r="J162" s="21"/>
      <c r="K162" s="21"/>
      <c r="AP162" s="6">
        <f>ROW()</f>
        <v>162</v>
      </c>
    </row>
    <row r="163" spans="2:42" ht="14" customHeight="1">
      <c r="B163" s="32" t="s">
        <v>834</v>
      </c>
      <c r="J163" s="6">
        <f>Z26</f>
        <v>11.490962919894262</v>
      </c>
      <c r="K163" s="21">
        <f>J163*(K166/J166)</f>
        <v>9.4939140178924042</v>
      </c>
      <c r="AP163" s="6">
        <f>ROW()</f>
        <v>163</v>
      </c>
    </row>
    <row r="164" spans="2:42" ht="14" customHeight="1">
      <c r="B164" s="768" t="str">
        <f>CONCATENATE("Nominal figure is copied from cell Z",AP26, ". Constant-$ 2012 price prorates the nominal price by the ratio of the 2012$ and nominal prices in the next row.")</f>
        <v>Nominal figure is copied from cell Z26. Constant-$ 2012 price prorates the nominal price by the ratio of the 2012$ and nominal prices in the next row.</v>
      </c>
      <c r="C164" s="738"/>
      <c r="D164" s="738"/>
      <c r="E164" s="738"/>
      <c r="F164" s="738"/>
      <c r="G164" s="738"/>
      <c r="H164" s="738"/>
      <c r="I164" s="738"/>
      <c r="J164" s="6"/>
      <c r="K164" s="21"/>
      <c r="AP164" s="6">
        <f>ROW()</f>
        <v>164</v>
      </c>
    </row>
    <row r="165" spans="2:42" ht="14" customHeight="1">
      <c r="B165" s="738"/>
      <c r="C165" s="738"/>
      <c r="D165" s="738"/>
      <c r="E165" s="738"/>
      <c r="F165" s="738"/>
      <c r="G165" s="738"/>
      <c r="H165" s="738"/>
      <c r="I165" s="738"/>
      <c r="J165" s="6"/>
      <c r="K165" s="21"/>
      <c r="AP165" s="6">
        <f>ROW()</f>
        <v>165</v>
      </c>
    </row>
    <row r="166" spans="2:42" ht="14" customHeight="1">
      <c r="B166" s="32" t="s">
        <v>835</v>
      </c>
      <c r="J166" s="6">
        <v>15.702107145747499</v>
      </c>
      <c r="K166" s="21">
        <v>12.973190861435</v>
      </c>
      <c r="AP166" s="6">
        <f>ROW()</f>
        <v>166</v>
      </c>
    </row>
    <row r="167" spans="2:42" ht="14" customHeight="1">
      <c r="B167" s="91" t="str">
        <f>CONCATENATE("Nominal figure is copied from cell Z",AP61, ", and Constant-$ 2012 figure from Z",AP62, " Both figures have been hard-wired here.")</f>
        <v>Nominal figure is copied from cell Z61, and Constant-$ 2012 figure from Z62 Both figures have been hard-wired here.</v>
      </c>
      <c r="J167" s="6"/>
      <c r="K167" s="21"/>
      <c r="AP167" s="6">
        <f>ROW()</f>
        <v>167</v>
      </c>
    </row>
    <row r="168" spans="2:42" ht="14" customHeight="1">
      <c r="B168" s="32" t="s">
        <v>838</v>
      </c>
      <c r="J168" s="15">
        <f>(J163/J$161)-1</f>
        <v>0.17254723672390426</v>
      </c>
      <c r="K168" s="15">
        <f>(K163/K$161)-1</f>
        <v>-3.1233263480367035E-2</v>
      </c>
      <c r="AP168" s="6">
        <f>ROW()</f>
        <v>168</v>
      </c>
    </row>
    <row r="169" spans="2:42" ht="14" customHeight="1">
      <c r="B169" s="91" t="str">
        <f>CONCATENATE("Ratio of Row ",AP163, " to Row ",AP161, ", less one.")</f>
        <v>Ratio of Row 163 to Row 161, less one.</v>
      </c>
      <c r="K169" s="15"/>
      <c r="AP169" s="6">
        <f>ROW()</f>
        <v>169</v>
      </c>
    </row>
    <row r="170" spans="2:42" ht="14" customHeight="1">
      <c r="B170" s="32" t="s">
        <v>839</v>
      </c>
      <c r="J170" s="15">
        <f>(J166/J$161)-1</f>
        <v>0.60225583119872428</v>
      </c>
      <c r="K170" s="15">
        <f>(K166/K$161)-1</f>
        <v>0.32379498586071431</v>
      </c>
      <c r="AP170" s="6">
        <f>ROW()</f>
        <v>170</v>
      </c>
    </row>
    <row r="171" spans="2:42" ht="14" customHeight="1">
      <c r="B171" s="91" t="str">
        <f>CONCATENATE("Ratio of Row ",AP166, " to Row ",AP161, ", less one.")</f>
        <v>Ratio of Row 166 to Row 161, less one.</v>
      </c>
      <c r="K171" s="15"/>
      <c r="AP171" s="6">
        <f>ROW()</f>
        <v>171</v>
      </c>
    </row>
    <row r="172" spans="2:42" ht="14" customHeight="1">
      <c r="B172" s="32" t="s">
        <v>841</v>
      </c>
      <c r="I172" s="32"/>
      <c r="J172" s="15">
        <f>(1+J168)^(1/11)-1</f>
        <v>1.4575981940396776E-2</v>
      </c>
      <c r="K172" s="15">
        <f>(1+K168)^(1/11)-1</f>
        <v>-2.8805180560959043E-3</v>
      </c>
      <c r="AP172" s="6">
        <f>ROW()</f>
        <v>172</v>
      </c>
    </row>
    <row r="173" spans="2:42" ht="14" customHeight="1">
      <c r="B173" s="32" t="s">
        <v>842</v>
      </c>
      <c r="J173" s="15">
        <f>(1+J170)^(1/11)-1</f>
        <v>4.378724942301826E-2</v>
      </c>
      <c r="K173" s="15">
        <f>(1+K170)^(1/11)-1</f>
        <v>2.5828148832992115E-2</v>
      </c>
      <c r="AP173" s="6">
        <f>ROW()</f>
        <v>173</v>
      </c>
    </row>
    <row r="174" spans="2:42" ht="14" customHeight="1">
      <c r="B174" s="91" t="str">
        <f>CONCATENATE("Figures in Rows ",AP172, " and ",AP173, " are one-eleventh power of Rows ",AP168, " and ",AP170, ", respectively, less one.")</f>
        <v>Figures in Rows 172 and 173 are one-eleventh power of Rows 168 and 170, respectively, less one.</v>
      </c>
      <c r="AP174" s="6">
        <f>ROW()</f>
        <v>174</v>
      </c>
    </row>
    <row r="175" spans="2:42" ht="14" customHeight="1">
      <c r="B175" s="627" t="s">
        <v>862</v>
      </c>
      <c r="C175" s="628"/>
      <c r="D175" s="629"/>
      <c r="E175" s="629"/>
      <c r="F175" s="629"/>
      <c r="G175" s="629"/>
      <c r="H175" s="629"/>
      <c r="I175" s="629"/>
      <c r="J175" s="631">
        <f>J173-J172</f>
        <v>2.9211267482621484E-2</v>
      </c>
      <c r="K175" s="630">
        <f>K173-K172</f>
        <v>2.8708666889088019E-2</v>
      </c>
      <c r="AP175" s="6">
        <f>ROW()</f>
        <v>175</v>
      </c>
    </row>
    <row r="176" spans="2:42" ht="14" customHeight="1">
      <c r="B176" s="637" t="str">
        <f>CONCATENATE("Row ",AP173, " less Row ",AP172, ".")</f>
        <v>Row 173 less Row 172.</v>
      </c>
      <c r="C176" s="492"/>
      <c r="D176" s="484"/>
      <c r="E176" s="484"/>
      <c r="F176" s="484"/>
      <c r="G176" s="484"/>
      <c r="H176" s="484"/>
      <c r="I176" s="484"/>
      <c r="J176" s="638"/>
      <c r="K176" s="638"/>
      <c r="AP176" s="6">
        <f>ROW()</f>
        <v>176</v>
      </c>
    </row>
    <row r="177" spans="2:42" ht="14" customHeight="1">
      <c r="B177" s="32"/>
      <c r="AP177" s="6">
        <f>ROW()</f>
        <v>177</v>
      </c>
    </row>
    <row r="178" spans="2:42" ht="14" customHeight="1">
      <c r="B178" s="8" t="s">
        <v>865</v>
      </c>
      <c r="AP178" s="6">
        <f>ROW()</f>
        <v>178</v>
      </c>
    </row>
    <row r="179" spans="2:42" ht="14" customHeight="1">
      <c r="B179" s="32" t="s">
        <v>863</v>
      </c>
      <c r="J179" s="16">
        <f>($K153+1)*(J172+1)-1</f>
        <v>2.9824167225181997E-2</v>
      </c>
      <c r="K179" s="16">
        <f>($K153+1)*(K172+1)-1</f>
        <v>1.210531137648263E-2</v>
      </c>
      <c r="AP179" s="6">
        <f>ROW()</f>
        <v>179</v>
      </c>
    </row>
    <row r="180" spans="2:42" ht="14" customHeight="1">
      <c r="B180" s="91" t="str">
        <f>CONCATENATE("Product of one plus % in Row ",AP153, " and one plus percent in Row ",AP172, ", less one.")</f>
        <v>Product of one plus % in Row 153 and one plus percent in Row 172, less one.</v>
      </c>
      <c r="J180" s="16"/>
      <c r="K180" s="16"/>
      <c r="AP180" s="6">
        <f>ROW()</f>
        <v>180</v>
      </c>
    </row>
    <row r="181" spans="2:42" ht="14" customHeight="1">
      <c r="B181" s="32" t="s">
        <v>864</v>
      </c>
      <c r="J181" s="16">
        <f>($K154+1)*(J173+1)-1</f>
        <v>3.7754683575737857E-2</v>
      </c>
      <c r="K181" s="16">
        <f>($K154+1)*(K173+1)-1</f>
        <v>1.98993775635119E-2</v>
      </c>
      <c r="AP181" s="6">
        <f>ROW()</f>
        <v>181</v>
      </c>
    </row>
    <row r="182" spans="2:42" ht="14" customHeight="1">
      <c r="B182" s="91" t="str">
        <f>CONCATENATE("Product of one plus % in Row ",AP154, " and one plus percent in Row ",AP173, ", less one.")</f>
        <v>Product of one plus % in Row 154 and one plus percent in Row 173, less one.</v>
      </c>
      <c r="J182" s="16"/>
      <c r="K182" s="16"/>
      <c r="AP182" s="6">
        <f>ROW()</f>
        <v>182</v>
      </c>
    </row>
    <row r="183" spans="2:42" ht="14" customHeight="1">
      <c r="B183" s="632" t="s">
        <v>866</v>
      </c>
      <c r="C183" s="633"/>
      <c r="D183" s="634"/>
      <c r="E183" s="634"/>
      <c r="F183" s="634"/>
      <c r="G183" s="634"/>
      <c r="H183" s="634"/>
      <c r="I183" s="634"/>
      <c r="J183" s="635">
        <f>J181-J179</f>
        <v>7.9305163505558607E-3</v>
      </c>
      <c r="K183" s="636">
        <f>K181-K179</f>
        <v>7.7940661870292693E-3</v>
      </c>
      <c r="AP183" s="6">
        <f>ROW()</f>
        <v>183</v>
      </c>
    </row>
    <row r="184" spans="2:42" ht="14" customHeight="1">
      <c r="B184" s="637" t="str">
        <f>CONCATENATE("Row ",AP181, " less Row ",AP179, ".")</f>
        <v>Row 181 less Row 179.</v>
      </c>
      <c r="C184" s="492"/>
      <c r="D184" s="484"/>
      <c r="E184" s="484"/>
      <c r="F184" s="484"/>
      <c r="G184" s="484"/>
      <c r="H184" s="484"/>
      <c r="I184" s="484"/>
      <c r="J184" s="638"/>
      <c r="K184" s="638"/>
      <c r="AP184" s="6">
        <f>ROW()</f>
        <v>184</v>
      </c>
    </row>
    <row r="185" spans="2:42" ht="14" customHeight="1">
      <c r="AP185" s="6">
        <f>ROW()</f>
        <v>185</v>
      </c>
    </row>
    <row r="186" spans="2:42" ht="14" customHeight="1">
      <c r="B186" s="1" t="s">
        <v>843</v>
      </c>
      <c r="AP186" s="6">
        <f>ROW()</f>
        <v>186</v>
      </c>
    </row>
    <row r="187" spans="2:42" ht="14" customHeight="1">
      <c r="AP187" s="6">
        <f>ROW()</f>
        <v>187</v>
      </c>
    </row>
    <row r="188" spans="2:42" ht="14" customHeight="1">
      <c r="B188" s="134" t="s">
        <v>922</v>
      </c>
      <c r="C188" s="32"/>
      <c r="D188" s="32"/>
      <c r="E188" s="32"/>
      <c r="F188" s="32"/>
      <c r="G188" s="32"/>
      <c r="H188" s="32"/>
      <c r="I188" s="32"/>
      <c r="J188" s="32"/>
      <c r="K188" s="32"/>
      <c r="L188" s="32"/>
      <c r="M188" s="32"/>
      <c r="N188" s="32"/>
      <c r="AP188" s="6">
        <f>ROW()</f>
        <v>188</v>
      </c>
    </row>
    <row r="189" spans="2:42" ht="14" customHeight="1">
      <c r="B189" s="32"/>
      <c r="I189" s="32"/>
      <c r="K189" s="21"/>
      <c r="AP189" s="6">
        <f>ROW()</f>
        <v>189</v>
      </c>
    </row>
    <row r="190" spans="2:42" ht="14" customHeight="1">
      <c r="B190" s="815" t="str">
        <f>CONCATENATE("'2023, without a Carbon Tax' must generate ",N222/1000, ",000 more GWh from all sources combined, than in 2012, while emitting barely more CO2 than was actually emitted in 2012. One way " &amp; "to do this is to greatly increase output from methane firing while increasing wind power output steadily and reducing coal-burning somewhat. This is shown in Rows ",AP216, "-",AP223, ".")</f>
        <v>'2023, without a Carbon Tax' must generate 740,000 more GWh from all sources combined, than in 2012, while emitting barely more CO2 than was actually emitted in 2012. One way to do this is to greatly increase output from methane firing while increasing wind power output steadily and reducing coal-burning somewhat. This is shown in Rows 216-223.</v>
      </c>
      <c r="C190" s="738"/>
      <c r="D190" s="738"/>
      <c r="E190" s="738"/>
      <c r="F190" s="738"/>
      <c r="G190" s="738"/>
      <c r="H190" s="738"/>
      <c r="I190" s="738"/>
      <c r="J190" s="738"/>
      <c r="K190" s="738"/>
      <c r="L190" s="738"/>
      <c r="M190" s="738"/>
      <c r="N190" s="738"/>
      <c r="AP190" s="6">
        <f>ROW()</f>
        <v>190</v>
      </c>
    </row>
    <row r="191" spans="2:42" ht="14" customHeight="1">
      <c r="B191" s="738"/>
      <c r="C191" s="738"/>
      <c r="D191" s="738"/>
      <c r="E191" s="738"/>
      <c r="F191" s="738"/>
      <c r="G191" s="738"/>
      <c r="H191" s="738"/>
      <c r="I191" s="738"/>
      <c r="J191" s="738"/>
      <c r="K191" s="738"/>
      <c r="L191" s="738"/>
      <c r="M191" s="738"/>
      <c r="N191" s="738"/>
      <c r="AP191" s="6">
        <f>ROW()</f>
        <v>191</v>
      </c>
    </row>
    <row r="192" spans="2:42" ht="14" customHeight="1">
      <c r="B192" s="738"/>
      <c r="C192" s="738"/>
      <c r="D192" s="738"/>
      <c r="E192" s="738"/>
      <c r="F192" s="738"/>
      <c r="G192" s="738"/>
      <c r="H192" s="738"/>
      <c r="I192" s="738"/>
      <c r="J192" s="738"/>
      <c r="K192" s="738"/>
      <c r="L192" s="738"/>
      <c r="M192" s="738"/>
      <c r="N192" s="738"/>
      <c r="AP192" s="6">
        <f>ROW()</f>
        <v>192</v>
      </c>
    </row>
    <row r="193" spans="2:42" ht="14" customHeight="1">
      <c r="B193" s="91"/>
      <c r="AP193" s="6">
        <f>ROW()</f>
        <v>193</v>
      </c>
    </row>
    <row r="194" spans="2:42" ht="14" customHeight="1">
      <c r="B194" s="815" t="str">
        <f>CONCATENATE("'2023, with a Carbon Tax: A High-Wind, Low-Methane Scenario,' generate ",-N230/1000, ",000 *fewer* GWh from all sources combined than in 2012, and emits less than half as much CO2 as was emitted in 2012. One way " &amp; "to do this is to increase output from wind turbines by ",B228*100, "% a year -- a growth rate less than the ",ROUND(K209,2)*100, "% rate over the past dozen years, but an extremely difficult rate to achieve/sustain when the 'base' is as large as wind is today. Meeting this target would require that ",K231/1000, ",000 new large wind turbines be installed in the U.S. over the next decade. " &amp; "Were this to happen, coal and methane firing could/would both be curtailed substantially. This is shown in Rows ",AP224, "-",AP231, ".")</f>
        <v>'2023, with a Carbon Tax: A High-Wind, Low-Methane Scenario,' generate 236,000 *fewer* GWh from all sources combined than in 2012, and emits less than half as much CO2 as was emitted in 2012. One way to do this is to increase output from wind turbines by 20% a year -- a growth rate less than the 30% rate over the past dozen years, but an extremely difficult rate to achieve/sustain when the 'base' is as large as wind is today. Meeting this target would require that 114,000 new large wind turbines be installed in the U.S. over the next decade. Were this to happen, coal and methane firing could/would both be curtailed substantially. This is shown in Rows 224-231.</v>
      </c>
      <c r="C194" s="738"/>
      <c r="D194" s="738"/>
      <c r="E194" s="738"/>
      <c r="F194" s="738"/>
      <c r="G194" s="738"/>
      <c r="H194" s="738"/>
      <c r="I194" s="738"/>
      <c r="J194" s="738"/>
      <c r="K194" s="738"/>
      <c r="L194" s="738"/>
      <c r="M194" s="738"/>
      <c r="N194" s="738"/>
      <c r="AP194" s="6">
        <f>ROW()</f>
        <v>194</v>
      </c>
    </row>
    <row r="195" spans="2:42" ht="14" customHeight="1">
      <c r="B195" s="738"/>
      <c r="C195" s="738"/>
      <c r="D195" s="738"/>
      <c r="E195" s="738"/>
      <c r="F195" s="738"/>
      <c r="G195" s="738"/>
      <c r="H195" s="738"/>
      <c r="I195" s="738"/>
      <c r="J195" s="738"/>
      <c r="K195" s="738"/>
      <c r="L195" s="738"/>
      <c r="M195" s="738"/>
      <c r="N195" s="738"/>
      <c r="AP195" s="6">
        <f>ROW()</f>
        <v>195</v>
      </c>
    </row>
    <row r="196" spans="2:42" ht="14" customHeight="1">
      <c r="B196" s="738"/>
      <c r="C196" s="738"/>
      <c r="D196" s="738"/>
      <c r="E196" s="738"/>
      <c r="F196" s="738"/>
      <c r="G196" s="738"/>
      <c r="H196" s="738"/>
      <c r="I196" s="738"/>
      <c r="J196" s="738"/>
      <c r="K196" s="738"/>
      <c r="L196" s="738"/>
      <c r="M196" s="738"/>
      <c r="N196" s="738"/>
      <c r="AP196" s="6">
        <f>ROW()</f>
        <v>196</v>
      </c>
    </row>
    <row r="197" spans="2:42" ht="14" customHeight="1">
      <c r="B197" s="738"/>
      <c r="C197" s="738"/>
      <c r="D197" s="738"/>
      <c r="E197" s="738"/>
      <c r="F197" s="738"/>
      <c r="G197" s="738"/>
      <c r="H197" s="738"/>
      <c r="I197" s="738"/>
      <c r="J197" s="738"/>
      <c r="K197" s="738"/>
      <c r="L197" s="738"/>
      <c r="M197" s="738"/>
      <c r="N197" s="738"/>
      <c r="AP197" s="6">
        <f>ROW()</f>
        <v>197</v>
      </c>
    </row>
    <row r="198" spans="2:42" ht="14" customHeight="1">
      <c r="B198" s="738"/>
      <c r="C198" s="738"/>
      <c r="D198" s="738"/>
      <c r="E198" s="738"/>
      <c r="F198" s="738"/>
      <c r="G198" s="738"/>
      <c r="H198" s="738"/>
      <c r="I198" s="738"/>
      <c r="J198" s="738"/>
      <c r="K198" s="738"/>
      <c r="L198" s="738"/>
      <c r="M198" s="738"/>
      <c r="N198" s="738"/>
      <c r="AP198" s="6">
        <f>ROW()</f>
        <v>198</v>
      </c>
    </row>
    <row r="199" spans="2:42" ht="14" customHeight="1">
      <c r="B199" s="182"/>
      <c r="C199" s="182"/>
      <c r="D199" s="182"/>
      <c r="E199" s="182"/>
      <c r="F199" s="182"/>
      <c r="G199" s="182"/>
      <c r="H199" s="182"/>
      <c r="I199" s="182"/>
      <c r="J199" s="182"/>
      <c r="K199" s="182"/>
      <c r="L199" s="182"/>
      <c r="M199" s="182"/>
      <c r="N199" s="182"/>
      <c r="AP199" s="6">
        <f>ROW()</f>
        <v>199</v>
      </c>
    </row>
    <row r="200" spans="2:42" ht="14" customHeight="1">
      <c r="B200" s="815" t="str">
        <f>CONCATENATE("The last scenario, '2023, with a Carbon Tax: A Lower-Wind, Higher-Solar, Higher-Methane Scenario,' must meet the same GWh and CO2 targets/constraints as the preceding one. " &amp; "It does so with a lower wind-growth rate -- ",B236*100, "% a year rather than ",B228*100, "% -- which requires that 'only' ",K239/1000, ",000 wind turbines be installed over the next decade, but a very rapid scale-up in solar-electric generation -- a ",ROUND(L234/L212,0), "-fold increase over the 2012 level. This scenario also entails an *increase* in methane-fired electricity generation from 2012 (though the approximately ",ROUND(100*(F234/F212),-1)-100, "% increase is less of an increase than that shown in the 2023-no-carbon-tax scenario)." &amp; " Note the decimation of the coal-fired electricity generation sector in this scenario.")</f>
        <v>The last scenario, '2023, with a Carbon Tax: A Lower-Wind, Higher-Solar, Higher-Methane Scenario,' must meet the same GWh and CO2 targets/constraints as the preceding one. It does so with a lower wind-growth rate -- 11% a year rather than 20% -- which requires that 'only' 38,000 wind turbines be installed over the next decade, but a very rapid scale-up in solar-electric generation -- a 86-fold increase over the 2012 level. This scenario also entails an *increase* in methane-fired electricity generation from 2012 (though the approximately 20% increase is less of an increase than that shown in the 2023-no-carbon-tax scenario). Note the decimation of the coal-fired electricity generation sector in this scenario.</v>
      </c>
      <c r="C200" s="738"/>
      <c r="D200" s="738"/>
      <c r="E200" s="738"/>
      <c r="F200" s="738"/>
      <c r="G200" s="738"/>
      <c r="H200" s="738"/>
      <c r="I200" s="738"/>
      <c r="J200" s="738"/>
      <c r="K200" s="738"/>
      <c r="L200" s="738"/>
      <c r="M200" s="738"/>
      <c r="N200" s="738"/>
      <c r="AP200" s="6">
        <f>ROW()</f>
        <v>200</v>
      </c>
    </row>
    <row r="201" spans="2:42" ht="14" customHeight="1">
      <c r="B201" s="738"/>
      <c r="C201" s="738"/>
      <c r="D201" s="738"/>
      <c r="E201" s="738"/>
      <c r="F201" s="738"/>
      <c r="G201" s="738"/>
      <c r="H201" s="738"/>
      <c r="I201" s="738"/>
      <c r="J201" s="738"/>
      <c r="K201" s="738"/>
      <c r="L201" s="738"/>
      <c r="M201" s="738"/>
      <c r="N201" s="738"/>
      <c r="AP201" s="6">
        <f>ROW()</f>
        <v>201</v>
      </c>
    </row>
    <row r="202" spans="2:42" ht="14" customHeight="1">
      <c r="B202" s="738"/>
      <c r="C202" s="738"/>
      <c r="D202" s="738"/>
      <c r="E202" s="738"/>
      <c r="F202" s="738"/>
      <c r="G202" s="738"/>
      <c r="H202" s="738"/>
      <c r="I202" s="738"/>
      <c r="J202" s="738"/>
      <c r="K202" s="738"/>
      <c r="L202" s="738"/>
      <c r="M202" s="738"/>
      <c r="N202" s="738"/>
      <c r="AP202" s="6">
        <f>ROW()</f>
        <v>202</v>
      </c>
    </row>
    <row r="203" spans="2:42" ht="14" customHeight="1">
      <c r="B203" s="738"/>
      <c r="C203" s="738"/>
      <c r="D203" s="738"/>
      <c r="E203" s="738"/>
      <c r="F203" s="738"/>
      <c r="G203" s="738"/>
      <c r="H203" s="738"/>
      <c r="I203" s="738"/>
      <c r="J203" s="738"/>
      <c r="K203" s="738"/>
      <c r="L203" s="738"/>
      <c r="M203" s="738"/>
      <c r="N203" s="738"/>
      <c r="AP203" s="6">
        <f>ROW()</f>
        <v>203</v>
      </c>
    </row>
    <row r="204" spans="2:42" ht="14" customHeight="1">
      <c r="B204" s="738"/>
      <c r="C204" s="738"/>
      <c r="D204" s="738"/>
      <c r="E204" s="738"/>
      <c r="F204" s="738"/>
      <c r="G204" s="738"/>
      <c r="H204" s="738"/>
      <c r="I204" s="738"/>
      <c r="J204" s="738"/>
      <c r="K204" s="738"/>
      <c r="L204" s="738"/>
      <c r="M204" s="738"/>
      <c r="N204" s="738"/>
      <c r="AP204" s="6">
        <f>ROW()</f>
        <v>204</v>
      </c>
    </row>
    <row r="205" spans="2:42" ht="14" customHeight="1">
      <c r="B205" s="182"/>
      <c r="C205" s="182"/>
      <c r="D205" s="182"/>
      <c r="E205" s="182"/>
      <c r="F205" s="182"/>
      <c r="G205" s="182"/>
      <c r="H205" s="182"/>
      <c r="I205" s="182"/>
      <c r="J205" s="182"/>
      <c r="K205" s="182"/>
      <c r="L205" s="182"/>
      <c r="M205" s="182"/>
      <c r="N205" s="182"/>
      <c r="AP205" s="6">
        <f>ROW()</f>
        <v>205</v>
      </c>
    </row>
    <row r="206" spans="2:42" ht="14" customHeight="1">
      <c r="B206" s="844" t="s">
        <v>878</v>
      </c>
      <c r="C206" s="844"/>
      <c r="D206" s="844"/>
      <c r="E206" s="844"/>
      <c r="F206" s="844"/>
      <c r="G206" s="844"/>
      <c r="H206" s="844"/>
      <c r="I206" s="844"/>
      <c r="J206" s="844"/>
      <c r="K206" s="844"/>
      <c r="L206" s="844"/>
      <c r="M206" s="844"/>
      <c r="N206" s="844"/>
      <c r="O206" s="844"/>
      <c r="P206" s="844"/>
      <c r="AP206" s="6">
        <f>ROW()</f>
        <v>206</v>
      </c>
    </row>
    <row r="207" spans="2:42" ht="14" customHeight="1">
      <c r="AP207" s="6">
        <f>ROW()</f>
        <v>207</v>
      </c>
    </row>
    <row r="208" spans="2:42" ht="14" customHeight="1">
      <c r="B208" s="822" t="s">
        <v>871</v>
      </c>
      <c r="C208" s="830" t="s">
        <v>877</v>
      </c>
      <c r="D208" s="666" t="s">
        <v>48</v>
      </c>
      <c r="E208" s="665" t="s">
        <v>844</v>
      </c>
      <c r="F208" s="665" t="s">
        <v>872</v>
      </c>
      <c r="G208" s="665" t="s">
        <v>845</v>
      </c>
      <c r="H208" s="665" t="s">
        <v>846</v>
      </c>
      <c r="I208" s="665" t="s">
        <v>867</v>
      </c>
      <c r="J208" s="665" t="s">
        <v>849</v>
      </c>
      <c r="K208" s="665" t="s">
        <v>847</v>
      </c>
      <c r="L208" s="665" t="s">
        <v>848</v>
      </c>
      <c r="M208" s="665" t="s">
        <v>162</v>
      </c>
      <c r="N208" s="667" t="s">
        <v>868</v>
      </c>
      <c r="AP208" s="6">
        <f>ROW()</f>
        <v>208</v>
      </c>
    </row>
    <row r="209" spans="2:42" ht="14" customHeight="1">
      <c r="B209" s="823"/>
      <c r="C209" s="831"/>
      <c r="D209" s="640">
        <v>-2.39360980601891E-2</v>
      </c>
      <c r="E209" s="640">
        <v>-0.13222123370484401</v>
      </c>
      <c r="F209" s="640">
        <v>5.9417978311662199E-2</v>
      </c>
      <c r="G209" s="640">
        <v>-1.3844847625825701E-3</v>
      </c>
      <c r="H209" s="640">
        <v>6.1984669311001602E-3</v>
      </c>
      <c r="I209" s="640">
        <v>6.9582172785995801E-3</v>
      </c>
      <c r="J209" s="640">
        <v>1.48392813159794E-2</v>
      </c>
      <c r="K209" s="641">
        <v>0.297562771759106</v>
      </c>
      <c r="L209" s="641">
        <v>0.22844214790968501</v>
      </c>
      <c r="M209" s="640"/>
      <c r="N209" s="640">
        <v>4.96805447296245E-3</v>
      </c>
      <c r="O209" s="838" t="s">
        <v>873</v>
      </c>
      <c r="P209" s="839"/>
      <c r="AP209" s="6">
        <f>ROW()</f>
        <v>209</v>
      </c>
    </row>
    <row r="210" spans="2:42" ht="14" customHeight="1">
      <c r="B210" s="823"/>
      <c r="C210" s="831"/>
      <c r="D210" s="825" t="s">
        <v>869</v>
      </c>
      <c r="E210" s="825"/>
      <c r="F210" s="825"/>
      <c r="G210" s="825"/>
      <c r="H210" s="825"/>
      <c r="I210" s="825"/>
      <c r="J210" s="825"/>
      <c r="K210" s="825"/>
      <c r="L210" s="825"/>
      <c r="M210" s="825"/>
      <c r="N210" s="825"/>
      <c r="O210" s="840"/>
      <c r="P210" s="841"/>
      <c r="AP210" s="6">
        <f>ROW()</f>
        <v>210</v>
      </c>
    </row>
    <row r="211" spans="2:42" ht="14" customHeight="1">
      <c r="B211" s="823"/>
      <c r="C211" s="831"/>
      <c r="D211" s="828" t="s">
        <v>880</v>
      </c>
      <c r="E211" s="829"/>
      <c r="F211" s="829"/>
      <c r="G211" s="829"/>
      <c r="H211" s="829"/>
      <c r="I211" s="829"/>
      <c r="J211" s="829"/>
      <c r="K211" s="829"/>
      <c r="L211" s="829"/>
      <c r="M211" s="829"/>
      <c r="N211" s="829"/>
      <c r="O211" s="840"/>
      <c r="P211" s="841"/>
      <c r="AP211" s="6">
        <f>ROW()</f>
        <v>211</v>
      </c>
    </row>
    <row r="212" spans="2:42" ht="14" customHeight="1">
      <c r="B212" s="823"/>
      <c r="C212" s="831"/>
      <c r="D212" s="577">
        <f>ROUND(Energy!N12,-3)</f>
        <v>1517000</v>
      </c>
      <c r="E212" s="577">
        <f>ROUND(Energy!N13,-3)</f>
        <v>23000</v>
      </c>
      <c r="F212" s="577">
        <f>ROUND(Energy!N14,-3)</f>
        <v>1231000</v>
      </c>
      <c r="G212" s="577">
        <f>ROUND(769331.249,-3)</f>
        <v>769000</v>
      </c>
      <c r="H212" s="577">
        <f>ROUND(271877.596,-3)</f>
        <v>272000</v>
      </c>
      <c r="I212" s="577">
        <f>ROUND(57565.127,-3)</f>
        <v>58000</v>
      </c>
      <c r="J212" s="577">
        <f>ROUND(16791.146,-3)</f>
        <v>17000</v>
      </c>
      <c r="K212" s="577">
        <f>ROUND(140088.883,-3)</f>
        <v>140000</v>
      </c>
      <c r="L212" s="577">
        <f>ROUND(4342.172,-1)</f>
        <v>4340</v>
      </c>
      <c r="M212" s="577">
        <f>ROUND(N212-SUM(D212:L212),-3)</f>
        <v>23000</v>
      </c>
      <c r="N212" s="588">
        <f>ROUND(Energy!N8*1000,-3)</f>
        <v>4054000</v>
      </c>
      <c r="O212" s="840"/>
      <c r="P212" s="841"/>
      <c r="AP212" s="6">
        <f>ROW()</f>
        <v>212</v>
      </c>
    </row>
    <row r="213" spans="2:42" ht="14" customHeight="1">
      <c r="B213" s="823"/>
      <c r="C213" s="831"/>
      <c r="D213" s="673">
        <f t="shared" ref="D213:N213" si="20">D212/$N212</f>
        <v>0.37419832264430192</v>
      </c>
      <c r="E213" s="673">
        <f t="shared" si="20"/>
        <v>5.673408978786384E-3</v>
      </c>
      <c r="F213" s="673">
        <f t="shared" si="20"/>
        <v>0.30365071534287125</v>
      </c>
      <c r="G213" s="673">
        <f t="shared" si="20"/>
        <v>0.18968919585594474</v>
      </c>
      <c r="H213" s="673">
        <f t="shared" si="20"/>
        <v>6.7094227923038971E-2</v>
      </c>
      <c r="I213" s="673">
        <f t="shared" si="20"/>
        <v>1.4306857424765663E-2</v>
      </c>
      <c r="J213" s="673">
        <f t="shared" si="20"/>
        <v>4.1933892451899357E-3</v>
      </c>
      <c r="K213" s="673">
        <f t="shared" si="20"/>
        <v>3.4533793783917119E-2</v>
      </c>
      <c r="L213" s="673">
        <f t="shared" si="20"/>
        <v>1.0705476073014308E-3</v>
      </c>
      <c r="M213" s="673">
        <f t="shared" si="20"/>
        <v>5.673408978786384E-3</v>
      </c>
      <c r="N213" s="673">
        <f t="shared" si="20"/>
        <v>1</v>
      </c>
      <c r="O213" s="840"/>
      <c r="P213" s="841"/>
      <c r="AP213" s="6">
        <f>ROW()</f>
        <v>213</v>
      </c>
    </row>
    <row r="214" spans="2:42" ht="14" customHeight="1">
      <c r="B214" s="823"/>
      <c r="C214" s="831"/>
      <c r="D214" s="575">
        <f>Emissions!M27</f>
        <v>2.1902953030263421</v>
      </c>
      <c r="E214" s="575">
        <f>Emissions!M35</f>
        <v>2.0827052691346082</v>
      </c>
      <c r="F214" s="575">
        <f>Emissions!M31</f>
        <v>0.88647271576478948</v>
      </c>
      <c r="G214" s="576"/>
      <c r="H214" s="576"/>
      <c r="I214" s="576"/>
      <c r="J214" s="576"/>
      <c r="K214" s="576"/>
      <c r="L214" s="576"/>
      <c r="M214" s="575">
        <v>1.1000000000000001</v>
      </c>
      <c r="N214" s="587">
        <f>SUMPRODUCT(D214:M214,D212:M212)/N212</f>
        <v>1.1068396914128054</v>
      </c>
      <c r="O214" s="840"/>
      <c r="P214" s="841"/>
      <c r="AP214" s="6">
        <f>ROW()</f>
        <v>214</v>
      </c>
    </row>
    <row r="215" spans="2:42" ht="14" customHeight="1">
      <c r="B215" s="824"/>
      <c r="C215" s="832"/>
      <c r="D215" s="577">
        <f>D212*D214/Parameters!$H$14</f>
        <v>1506.8834352339959</v>
      </c>
      <c r="E215" s="577">
        <f>E212*E214/Parameters!$H$14</f>
        <v>21.724363351517454</v>
      </c>
      <c r="F215" s="577">
        <f>F212*F214/Parameters!$H$14</f>
        <v>494.89701274669204</v>
      </c>
      <c r="G215" s="577">
        <f>G212*G214/Parameters!$H$14</f>
        <v>0</v>
      </c>
      <c r="H215" s="577">
        <f>H212*H214/Parameters!$H$14</f>
        <v>0</v>
      </c>
      <c r="I215" s="577">
        <f>I212*I214/Parameters!$H$14</f>
        <v>0</v>
      </c>
      <c r="J215" s="577">
        <f>J212*J214/Parameters!$H$14</f>
        <v>0</v>
      </c>
      <c r="K215" s="577">
        <f>K212*K214/Parameters!$H$14</f>
        <v>0</v>
      </c>
      <c r="L215" s="577">
        <f>L212*L214/Parameters!$H$14</f>
        <v>0</v>
      </c>
      <c r="M215" s="577">
        <f>M212*M214/Parameters!$H$14</f>
        <v>11.473922902494333</v>
      </c>
      <c r="N215" s="588">
        <f>SUM(D215:M215)</f>
        <v>2034.9787342346997</v>
      </c>
      <c r="O215" s="842"/>
      <c r="P215" s="843"/>
      <c r="AP215" s="6">
        <f>ROW()</f>
        <v>215</v>
      </c>
    </row>
    <row r="216" spans="2:42" ht="14" customHeight="1">
      <c r="B216" s="642"/>
      <c r="C216" s="642"/>
      <c r="D216" s="881" t="s">
        <v>870</v>
      </c>
      <c r="E216" s="882"/>
      <c r="F216" s="882"/>
      <c r="G216" s="882"/>
      <c r="H216" s="882"/>
      <c r="I216" s="882"/>
      <c r="J216" s="882"/>
      <c r="K216" s="882"/>
      <c r="L216" s="882"/>
      <c r="M216" s="882"/>
      <c r="N216" s="882"/>
      <c r="O216" s="595"/>
      <c r="P216" s="595"/>
      <c r="AP216" s="6">
        <f>ROW()</f>
        <v>216</v>
      </c>
    </row>
    <row r="217" spans="2:42" ht="14" customHeight="1">
      <c r="B217" s="668"/>
      <c r="C217" s="643"/>
      <c r="D217" s="875" t="s">
        <v>881</v>
      </c>
      <c r="E217" s="876"/>
      <c r="F217" s="876"/>
      <c r="G217" s="876"/>
      <c r="H217" s="876"/>
      <c r="I217" s="876"/>
      <c r="J217" s="876"/>
      <c r="K217" s="876"/>
      <c r="L217" s="876"/>
      <c r="M217" s="876"/>
      <c r="N217" s="876"/>
      <c r="O217" s="595"/>
      <c r="P217" s="595"/>
      <c r="AP217" s="6">
        <f>ROW()</f>
        <v>217</v>
      </c>
    </row>
    <row r="218" spans="2:42" ht="14" customHeight="1">
      <c r="B218" s="647"/>
      <c r="C218" s="643"/>
      <c r="D218" s="580">
        <v>1240000</v>
      </c>
      <c r="E218" s="580">
        <f>E212</f>
        <v>23000</v>
      </c>
      <c r="F218" s="580">
        <v>2000000</v>
      </c>
      <c r="G218" s="580">
        <f>G212</f>
        <v>769000</v>
      </c>
      <c r="H218" s="580">
        <f>H212</f>
        <v>272000</v>
      </c>
      <c r="I218" s="580">
        <f>I212</f>
        <v>58000</v>
      </c>
      <c r="J218" s="580">
        <f>J212</f>
        <v>17000</v>
      </c>
      <c r="K218" s="580">
        <f>ROUND(K$212*(1+B220)^11,-3)</f>
        <v>326000</v>
      </c>
      <c r="L218" s="580">
        <f>ROUND($L$212*(1+B222)^11,-3)</f>
        <v>66000</v>
      </c>
      <c r="M218" s="580">
        <f>M212</f>
        <v>23000</v>
      </c>
      <c r="N218" s="590">
        <f>SUM(D218:M218)</f>
        <v>4794000</v>
      </c>
      <c r="O218" s="596">
        <f>Z44*1000</f>
        <v>4867647.5273635555</v>
      </c>
      <c r="P218" s="596"/>
      <c r="AP218" s="6">
        <f>ROW()</f>
        <v>218</v>
      </c>
    </row>
    <row r="219" spans="2:42" ht="14" customHeight="1">
      <c r="B219" s="677" t="s">
        <v>847</v>
      </c>
      <c r="C219" s="643"/>
      <c r="D219" s="674">
        <f t="shared" ref="D219:N219" si="21">D218/$N218</f>
        <v>0.25865665415102213</v>
      </c>
      <c r="E219" s="674">
        <f t="shared" si="21"/>
        <v>4.7976637463496034E-3</v>
      </c>
      <c r="F219" s="674">
        <f t="shared" si="21"/>
        <v>0.41718815185648728</v>
      </c>
      <c r="G219" s="674">
        <f t="shared" si="21"/>
        <v>0.16040884438881936</v>
      </c>
      <c r="H219" s="674">
        <f t="shared" si="21"/>
        <v>5.6737588652482268E-2</v>
      </c>
      <c r="I219" s="674">
        <f t="shared" si="21"/>
        <v>1.2098456403838132E-2</v>
      </c>
      <c r="J219" s="674">
        <f t="shared" si="21"/>
        <v>3.5460992907801418E-3</v>
      </c>
      <c r="K219" s="674">
        <f t="shared" si="21"/>
        <v>6.8001668752607422E-2</v>
      </c>
      <c r="L219" s="674">
        <f t="shared" si="21"/>
        <v>1.3767209011264081E-2</v>
      </c>
      <c r="M219" s="674">
        <f t="shared" si="21"/>
        <v>4.7976637463496034E-3</v>
      </c>
      <c r="N219" s="674">
        <f t="shared" si="21"/>
        <v>1</v>
      </c>
      <c r="O219" s="596"/>
      <c r="P219" s="596"/>
      <c r="AP219" s="6">
        <f>ROW()</f>
        <v>219</v>
      </c>
    </row>
    <row r="220" spans="2:42" ht="14" customHeight="1">
      <c r="B220" s="619">
        <v>0.08</v>
      </c>
      <c r="C220" s="643"/>
      <c r="D220" s="579">
        <f>D214</f>
        <v>2.1902953030263421</v>
      </c>
      <c r="E220" s="579">
        <f>E214</f>
        <v>2.0827052691346082</v>
      </c>
      <c r="F220" s="579">
        <v>0.86</v>
      </c>
      <c r="G220" s="580"/>
      <c r="H220" s="580"/>
      <c r="I220" s="580"/>
      <c r="J220" s="580"/>
      <c r="K220" s="580"/>
      <c r="L220" s="580"/>
      <c r="M220" s="579">
        <v>1.1000000000000001</v>
      </c>
      <c r="N220" s="589">
        <f>N221*Parameters!$H$14/N218</f>
        <v>0.94058581496511473</v>
      </c>
      <c r="O220" s="595"/>
      <c r="P220" s="578"/>
      <c r="AP220" s="6">
        <f>ROW()</f>
        <v>220</v>
      </c>
    </row>
    <row r="221" spans="2:42" ht="14" customHeight="1">
      <c r="B221" s="648" t="s">
        <v>848</v>
      </c>
      <c r="C221" s="644"/>
      <c r="D221" s="580">
        <f>D218*D220/Parameters!$H$14</f>
        <v>1231.7306919513217</v>
      </c>
      <c r="E221" s="580">
        <f>E218*E220/Parameters!$H$14</f>
        <v>21.724363351517454</v>
      </c>
      <c r="F221" s="604">
        <f>F218*F220/Parameters!$H$14</f>
        <v>780.04535147392289</v>
      </c>
      <c r="G221" s="580">
        <f>G218*G220/Parameters!$H$14</f>
        <v>0</v>
      </c>
      <c r="H221" s="580">
        <f>H218*H220/Parameters!$H$14</f>
        <v>0</v>
      </c>
      <c r="I221" s="580">
        <f>I218*I220/Parameters!$H$14</f>
        <v>0</v>
      </c>
      <c r="J221" s="580">
        <f>J218*J220/Parameters!$H$14</f>
        <v>0</v>
      </c>
      <c r="K221" s="580">
        <f>K218*K220/Parameters!$H$14</f>
        <v>0</v>
      </c>
      <c r="L221" s="580">
        <f>L218*L220/Parameters!$H$14</f>
        <v>0</v>
      </c>
      <c r="M221" s="580">
        <f>M218*M220/Parameters!$H$14</f>
        <v>11.473922902494333</v>
      </c>
      <c r="N221" s="590">
        <f>SUM(D221:M221)</f>
        <v>2044.9743296792562</v>
      </c>
      <c r="O221" s="596">
        <f>K132</f>
        <v>2048.4017117004801</v>
      </c>
      <c r="P221" s="596"/>
      <c r="AP221" s="6">
        <f>ROW()</f>
        <v>221</v>
      </c>
    </row>
    <row r="222" spans="2:42" ht="14" customHeight="1">
      <c r="B222" s="619">
        <v>0.28000000000000003</v>
      </c>
      <c r="C222" s="602" t="s">
        <v>850</v>
      </c>
      <c r="D222" s="601">
        <f t="shared" ref="D222:N222" si="22">ROUND(D218-D$212,-3)</f>
        <v>-277000</v>
      </c>
      <c r="E222" s="601">
        <f t="shared" si="22"/>
        <v>0</v>
      </c>
      <c r="F222" s="603">
        <f t="shared" si="22"/>
        <v>769000</v>
      </c>
      <c r="G222" s="601">
        <f t="shared" si="22"/>
        <v>0</v>
      </c>
      <c r="H222" s="601">
        <f t="shared" si="22"/>
        <v>0</v>
      </c>
      <c r="I222" s="601">
        <f t="shared" si="22"/>
        <v>0</v>
      </c>
      <c r="J222" s="601">
        <f t="shared" si="22"/>
        <v>0</v>
      </c>
      <c r="K222" s="601">
        <f t="shared" si="22"/>
        <v>186000</v>
      </c>
      <c r="L222" s="601">
        <f t="shared" si="22"/>
        <v>62000</v>
      </c>
      <c r="M222" s="601">
        <f t="shared" si="22"/>
        <v>0</v>
      </c>
      <c r="N222" s="601">
        <f t="shared" si="22"/>
        <v>740000</v>
      </c>
      <c r="O222" s="595"/>
      <c r="P222" s="595"/>
      <c r="AP222" s="6">
        <f>ROW()</f>
        <v>222</v>
      </c>
    </row>
    <row r="223" spans="2:42" ht="14" customHeight="1">
      <c r="B223" s="578"/>
      <c r="C223" s="578"/>
      <c r="D223" s="580"/>
      <c r="E223" s="580"/>
      <c r="F223" s="580"/>
      <c r="G223" s="580"/>
      <c r="H223" s="580"/>
      <c r="I223" s="605"/>
      <c r="J223" s="606" t="s">
        <v>854</v>
      </c>
      <c r="K223" s="607">
        <f>ROUND(K222/$K$243,-3)</f>
        <v>24000</v>
      </c>
      <c r="L223" s="580"/>
      <c r="M223" s="580"/>
      <c r="N223" s="590"/>
      <c r="O223" s="595"/>
      <c r="P223" s="595"/>
      <c r="AP223" s="6">
        <f>ROW()</f>
        <v>223</v>
      </c>
    </row>
    <row r="224" spans="2:42" ht="14" customHeight="1">
      <c r="B224" s="649"/>
      <c r="C224" s="649"/>
      <c r="D224" s="883" t="s">
        <v>874</v>
      </c>
      <c r="E224" s="883"/>
      <c r="F224" s="883"/>
      <c r="G224" s="883"/>
      <c r="H224" s="883"/>
      <c r="I224" s="883"/>
      <c r="J224" s="883"/>
      <c r="K224" s="883"/>
      <c r="L224" s="883"/>
      <c r="M224" s="883"/>
      <c r="N224" s="883"/>
      <c r="O224" s="883"/>
      <c r="P224" s="883"/>
      <c r="AP224" s="6">
        <f>ROW()</f>
        <v>224</v>
      </c>
    </row>
    <row r="225" spans="2:42" ht="14" customHeight="1">
      <c r="B225" s="669"/>
      <c r="C225" s="669"/>
      <c r="D225" s="877" t="s">
        <v>882</v>
      </c>
      <c r="E225" s="878"/>
      <c r="F225" s="878"/>
      <c r="G225" s="878"/>
      <c r="H225" s="878"/>
      <c r="I225" s="878"/>
      <c r="J225" s="878"/>
      <c r="K225" s="878"/>
      <c r="L225" s="878"/>
      <c r="M225" s="878"/>
      <c r="N225" s="878"/>
      <c r="O225" s="646"/>
      <c r="P225" s="646"/>
      <c r="AP225" s="6">
        <f>ROW()</f>
        <v>225</v>
      </c>
    </row>
    <row r="226" spans="2:42" ht="14" customHeight="1">
      <c r="B226" s="650"/>
      <c r="C226" s="669"/>
      <c r="D226" s="583">
        <v>600000</v>
      </c>
      <c r="E226" s="583">
        <f>E218</f>
        <v>23000</v>
      </c>
      <c r="F226" s="583">
        <v>840000</v>
      </c>
      <c r="G226" s="583">
        <f>G218</f>
        <v>769000</v>
      </c>
      <c r="H226" s="583">
        <f>H218</f>
        <v>272000</v>
      </c>
      <c r="I226" s="583">
        <f>I218</f>
        <v>58000</v>
      </c>
      <c r="J226" s="583">
        <f>J218</f>
        <v>17000</v>
      </c>
      <c r="K226" s="583">
        <f>ROUND(K$212*(1+B228)^11,-3)</f>
        <v>1040000</v>
      </c>
      <c r="L226" s="583">
        <f>ROUND($L$212*(1+B230)^11,-3)</f>
        <v>176000</v>
      </c>
      <c r="M226" s="583">
        <f>M212</f>
        <v>23000</v>
      </c>
      <c r="N226" s="592">
        <f>SUM(D226:M226)</f>
        <v>3818000</v>
      </c>
      <c r="O226" s="598">
        <f>Z73*1000</f>
        <v>4235585.8725051768</v>
      </c>
      <c r="P226" s="645"/>
      <c r="R226" s="679"/>
      <c r="AP226" s="6">
        <f>ROW()</f>
        <v>226</v>
      </c>
    </row>
    <row r="227" spans="2:42" ht="14" customHeight="1">
      <c r="B227" s="621" t="s">
        <v>847</v>
      </c>
      <c r="C227" s="669"/>
      <c r="D227" s="675">
        <f t="shared" ref="D227:N227" si="23">D226/$N226</f>
        <v>0.15715034049240439</v>
      </c>
      <c r="E227" s="675">
        <f t="shared" si="23"/>
        <v>6.024096385542169E-3</v>
      </c>
      <c r="F227" s="675">
        <f t="shared" si="23"/>
        <v>0.22001047668936616</v>
      </c>
      <c r="G227" s="675">
        <f t="shared" si="23"/>
        <v>0.20141435306443164</v>
      </c>
      <c r="H227" s="675">
        <f t="shared" si="23"/>
        <v>7.1241487689889998E-2</v>
      </c>
      <c r="I227" s="675">
        <f t="shared" si="23"/>
        <v>1.5191199580932426E-2</v>
      </c>
      <c r="J227" s="675">
        <f t="shared" si="23"/>
        <v>4.4525929806181249E-3</v>
      </c>
      <c r="K227" s="675">
        <f t="shared" si="23"/>
        <v>0.27239392352016761</v>
      </c>
      <c r="L227" s="675">
        <f t="shared" si="23"/>
        <v>4.6097433211105293E-2</v>
      </c>
      <c r="M227" s="675">
        <f t="shared" si="23"/>
        <v>6.024096385542169E-3</v>
      </c>
      <c r="N227" s="675">
        <f t="shared" si="23"/>
        <v>1</v>
      </c>
      <c r="O227" s="598"/>
      <c r="P227" s="646"/>
      <c r="AP227" s="6">
        <f>ROW()</f>
        <v>227</v>
      </c>
    </row>
    <row r="228" spans="2:42" ht="14" customHeight="1">
      <c r="B228" s="651">
        <v>0.2</v>
      </c>
      <c r="C228" s="669"/>
      <c r="D228" s="582">
        <f>D220</f>
        <v>2.1902953030263421</v>
      </c>
      <c r="E228" s="582">
        <f>E220</f>
        <v>2.0827052691346082</v>
      </c>
      <c r="F228" s="582">
        <f>F220</f>
        <v>0.86</v>
      </c>
      <c r="G228" s="581"/>
      <c r="H228" s="581"/>
      <c r="I228" s="581"/>
      <c r="J228" s="581"/>
      <c r="K228" s="581"/>
      <c r="L228" s="581"/>
      <c r="M228" s="582">
        <f>M220</f>
        <v>1.1000000000000001</v>
      </c>
      <c r="N228" s="591">
        <f>SUMPRODUCT(D228:M228,D226:M226)/N226</f>
        <v>0.55258758591039847</v>
      </c>
      <c r="O228" s="597"/>
      <c r="P228" s="597"/>
      <c r="AP228" s="6">
        <f>ROW()</f>
        <v>228</v>
      </c>
    </row>
    <row r="229" spans="2:42" ht="14" customHeight="1">
      <c r="B229" s="621" t="s">
        <v>848</v>
      </c>
      <c r="C229" s="670"/>
      <c r="D229" s="583">
        <f>D226*D228/Parameters!$H$14</f>
        <v>595.99872191192992</v>
      </c>
      <c r="E229" s="583">
        <f>E226*E228/Parameters!$H$14</f>
        <v>21.724363351517454</v>
      </c>
      <c r="F229" s="583">
        <f>F226*F228/Parameters!$H$14</f>
        <v>327.61904761904759</v>
      </c>
      <c r="G229" s="583">
        <f>G226*G228/Parameters!$H$14</f>
        <v>0</v>
      </c>
      <c r="H229" s="583">
        <f>H226*H228/Parameters!$H$14</f>
        <v>0</v>
      </c>
      <c r="I229" s="583">
        <f>I226*I228/Parameters!$H$14</f>
        <v>0</v>
      </c>
      <c r="J229" s="583">
        <f>J226*J228/Parameters!$H$14</f>
        <v>0</v>
      </c>
      <c r="K229" s="583">
        <f>K226*K228/Parameters!$H$14</f>
        <v>0</v>
      </c>
      <c r="L229" s="583">
        <f>L226*L228/Parameters!$H$14</f>
        <v>0</v>
      </c>
      <c r="M229" s="583">
        <f>M226*M228/Parameters!$H$14</f>
        <v>11.473922902494333</v>
      </c>
      <c r="N229" s="592">
        <f>SUM(D229:M229)</f>
        <v>956.81605578498932</v>
      </c>
      <c r="O229" s="598">
        <f>K133</f>
        <v>963.38552647627</v>
      </c>
      <c r="P229" s="598"/>
      <c r="AP229" s="6">
        <f>ROW()</f>
        <v>229</v>
      </c>
    </row>
    <row r="230" spans="2:42" ht="14" customHeight="1">
      <c r="B230" s="622">
        <v>0.4</v>
      </c>
      <c r="C230" s="608" t="s">
        <v>850</v>
      </c>
      <c r="D230" s="609">
        <f t="shared" ref="D230:N230" si="24">ROUND(D226-D$212,-3)</f>
        <v>-917000</v>
      </c>
      <c r="E230" s="609">
        <f t="shared" si="24"/>
        <v>0</v>
      </c>
      <c r="F230" s="609">
        <f t="shared" si="24"/>
        <v>-391000</v>
      </c>
      <c r="G230" s="609">
        <f t="shared" si="24"/>
        <v>0</v>
      </c>
      <c r="H230" s="609">
        <f t="shared" si="24"/>
        <v>0</v>
      </c>
      <c r="I230" s="609">
        <f t="shared" si="24"/>
        <v>0</v>
      </c>
      <c r="J230" s="609">
        <f t="shared" si="24"/>
        <v>0</v>
      </c>
      <c r="K230" s="609">
        <f t="shared" si="24"/>
        <v>900000</v>
      </c>
      <c r="L230" s="609">
        <f t="shared" si="24"/>
        <v>172000</v>
      </c>
      <c r="M230" s="609">
        <f t="shared" si="24"/>
        <v>0</v>
      </c>
      <c r="N230" s="609">
        <f t="shared" si="24"/>
        <v>-236000</v>
      </c>
      <c r="O230" s="597"/>
      <c r="P230" s="597"/>
      <c r="AP230" s="6">
        <f>ROW()</f>
        <v>230</v>
      </c>
    </row>
    <row r="231" spans="2:42" ht="14" customHeight="1">
      <c r="B231" s="581"/>
      <c r="C231" s="581"/>
      <c r="D231" s="581"/>
      <c r="E231" s="581"/>
      <c r="F231" s="581"/>
      <c r="G231" s="581"/>
      <c r="H231" s="581"/>
      <c r="I231" s="610"/>
      <c r="J231" s="611" t="s">
        <v>854</v>
      </c>
      <c r="K231" s="612">
        <f>ROUND(K230/$K$243,-3)</f>
        <v>114000</v>
      </c>
      <c r="L231" s="581"/>
      <c r="M231" s="581"/>
      <c r="N231" s="581"/>
      <c r="O231" s="597"/>
      <c r="P231" s="597"/>
      <c r="AP231" s="6">
        <f>ROW()</f>
        <v>231</v>
      </c>
    </row>
    <row r="232" spans="2:42" ht="14" customHeight="1">
      <c r="B232" s="655"/>
      <c r="C232" s="655"/>
      <c r="D232" s="884" t="s">
        <v>883</v>
      </c>
      <c r="E232" s="884"/>
      <c r="F232" s="884"/>
      <c r="G232" s="884"/>
      <c r="H232" s="884"/>
      <c r="I232" s="884"/>
      <c r="J232" s="884"/>
      <c r="K232" s="884"/>
      <c r="L232" s="884"/>
      <c r="M232" s="884"/>
      <c r="N232" s="884"/>
      <c r="O232" s="884"/>
      <c r="P232" s="884"/>
      <c r="AP232" s="6">
        <f>ROW()</f>
        <v>232</v>
      </c>
    </row>
    <row r="233" spans="2:42" ht="14" customHeight="1">
      <c r="B233" s="671"/>
      <c r="C233" s="671"/>
      <c r="D233" s="879" t="s">
        <v>882</v>
      </c>
      <c r="E233" s="880"/>
      <c r="F233" s="880"/>
      <c r="G233" s="880"/>
      <c r="H233" s="880"/>
      <c r="I233" s="880"/>
      <c r="J233" s="880"/>
      <c r="K233" s="880"/>
      <c r="L233" s="880"/>
      <c r="M233" s="880"/>
      <c r="N233" s="880"/>
      <c r="O233" s="653"/>
      <c r="P233" s="653"/>
      <c r="AP233" s="6">
        <f>ROW()</f>
        <v>233</v>
      </c>
    </row>
    <row r="234" spans="2:42" ht="14" customHeight="1">
      <c r="B234" s="678"/>
      <c r="C234" s="671"/>
      <c r="D234" s="586">
        <v>350000</v>
      </c>
      <c r="E234" s="586">
        <f>E226</f>
        <v>23000</v>
      </c>
      <c r="F234" s="586">
        <v>1490000</v>
      </c>
      <c r="G234" s="586">
        <f>G226</f>
        <v>769000</v>
      </c>
      <c r="H234" s="586">
        <f>H226</f>
        <v>272000</v>
      </c>
      <c r="I234" s="586">
        <f>I226</f>
        <v>58000</v>
      </c>
      <c r="J234" s="586">
        <f>J226</f>
        <v>17000</v>
      </c>
      <c r="K234" s="586">
        <f>ROUND(K$212*(1+B236)^11,-3)</f>
        <v>441000</v>
      </c>
      <c r="L234" s="586">
        <f>ROUND($L$212*(1+B238)^11,-3)</f>
        <v>375000</v>
      </c>
      <c r="M234" s="586">
        <f>M212</f>
        <v>23000</v>
      </c>
      <c r="N234" s="594">
        <f>SUM(D234:M234)</f>
        <v>3818000</v>
      </c>
      <c r="O234" s="600">
        <f>O226</f>
        <v>4235585.8725051768</v>
      </c>
      <c r="P234" s="652"/>
      <c r="AP234" s="6">
        <f>ROW()</f>
        <v>234</v>
      </c>
    </row>
    <row r="235" spans="2:42" ht="14" customHeight="1">
      <c r="B235" s="654" t="s">
        <v>847</v>
      </c>
      <c r="C235" s="671"/>
      <c r="D235" s="676">
        <f t="shared" ref="D235:N235" si="25">D234/$N234</f>
        <v>9.1671031953902568E-2</v>
      </c>
      <c r="E235" s="676">
        <f t="shared" si="25"/>
        <v>6.024096385542169E-3</v>
      </c>
      <c r="F235" s="676">
        <f t="shared" si="25"/>
        <v>0.39025667888947091</v>
      </c>
      <c r="G235" s="676">
        <f t="shared" si="25"/>
        <v>0.20141435306443164</v>
      </c>
      <c r="H235" s="676">
        <f t="shared" si="25"/>
        <v>7.1241487689889998E-2</v>
      </c>
      <c r="I235" s="676">
        <f t="shared" si="25"/>
        <v>1.5191199580932426E-2</v>
      </c>
      <c r="J235" s="676">
        <f t="shared" si="25"/>
        <v>4.4525929806181249E-3</v>
      </c>
      <c r="K235" s="676">
        <f t="shared" si="25"/>
        <v>0.11550550026191723</v>
      </c>
      <c r="L235" s="676">
        <f t="shared" si="25"/>
        <v>9.8218962807752747E-2</v>
      </c>
      <c r="M235" s="676">
        <f t="shared" si="25"/>
        <v>6.024096385542169E-3</v>
      </c>
      <c r="N235" s="676">
        <f t="shared" si="25"/>
        <v>1</v>
      </c>
      <c r="O235" s="600"/>
      <c r="P235" s="653"/>
      <c r="AP235" s="6">
        <f>ROW()</f>
        <v>235</v>
      </c>
    </row>
    <row r="236" spans="2:42" ht="14" customHeight="1">
      <c r="B236" s="620">
        <v>0.11</v>
      </c>
      <c r="C236" s="671"/>
      <c r="D236" s="585">
        <f>D228</f>
        <v>2.1902953030263421</v>
      </c>
      <c r="E236" s="585">
        <f>E228</f>
        <v>2.0827052691346082</v>
      </c>
      <c r="F236" s="585">
        <f>F228</f>
        <v>0.86</v>
      </c>
      <c r="G236" s="584"/>
      <c r="H236" s="584"/>
      <c r="I236" s="584"/>
      <c r="J236" s="584"/>
      <c r="K236" s="584"/>
      <c r="L236" s="584"/>
      <c r="M236" s="585">
        <f>M228</f>
        <v>1.1000000000000001</v>
      </c>
      <c r="N236" s="593">
        <f>SUMPRODUCT(D236:M236,D234:M234)/N234</f>
        <v>0.55558029786519525</v>
      </c>
      <c r="O236" s="599"/>
      <c r="P236" s="599"/>
      <c r="AP236" s="6">
        <f>ROW()</f>
        <v>236</v>
      </c>
    </row>
    <row r="237" spans="2:42" ht="14" customHeight="1">
      <c r="B237" s="654" t="s">
        <v>848</v>
      </c>
      <c r="C237" s="672"/>
      <c r="D237" s="586">
        <f>D234*D236/Parameters!$H$14</f>
        <v>347.66592111529235</v>
      </c>
      <c r="E237" s="586">
        <f>E234*E236/Parameters!$H$14</f>
        <v>21.724363351517454</v>
      </c>
      <c r="F237" s="586">
        <f>F234*F236/Parameters!$H$14</f>
        <v>581.13378684807253</v>
      </c>
      <c r="G237" s="586">
        <f>G234*G236/Parameters!$H$14</f>
        <v>0</v>
      </c>
      <c r="H237" s="586">
        <f>H234*H236/Parameters!$H$14</f>
        <v>0</v>
      </c>
      <c r="I237" s="586">
        <f>I234*I236/Parameters!$H$14</f>
        <v>0</v>
      </c>
      <c r="J237" s="586">
        <f>J234*J236/Parameters!$H$14</f>
        <v>0</v>
      </c>
      <c r="K237" s="586">
        <f>K234*K236/Parameters!$H$14</f>
        <v>0</v>
      </c>
      <c r="L237" s="586">
        <f>L234*L236/Parameters!$H$14</f>
        <v>0</v>
      </c>
      <c r="M237" s="586">
        <f>M234*M236/Parameters!$H$14</f>
        <v>11.473922902494333</v>
      </c>
      <c r="N237" s="594">
        <f>SUM(D237:M237)</f>
        <v>961.99799421737669</v>
      </c>
      <c r="O237" s="600">
        <f>K133</f>
        <v>963.38552647627</v>
      </c>
      <c r="P237" s="600"/>
      <c r="AP237" s="6">
        <f>ROW()</f>
        <v>237</v>
      </c>
    </row>
    <row r="238" spans="2:42" ht="14" customHeight="1">
      <c r="B238" s="620">
        <v>0.5</v>
      </c>
      <c r="C238" s="613" t="s">
        <v>850</v>
      </c>
      <c r="D238" s="618">
        <f t="shared" ref="D238:N238" si="26">ROUND(D234-D$212,-3)</f>
        <v>-1167000</v>
      </c>
      <c r="E238" s="614">
        <f t="shared" si="26"/>
        <v>0</v>
      </c>
      <c r="F238" s="614">
        <f t="shared" si="26"/>
        <v>259000</v>
      </c>
      <c r="G238" s="614">
        <f t="shared" si="26"/>
        <v>0</v>
      </c>
      <c r="H238" s="614">
        <f t="shared" si="26"/>
        <v>0</v>
      </c>
      <c r="I238" s="614">
        <f t="shared" si="26"/>
        <v>0</v>
      </c>
      <c r="J238" s="614">
        <f t="shared" si="26"/>
        <v>0</v>
      </c>
      <c r="K238" s="614">
        <f t="shared" si="26"/>
        <v>301000</v>
      </c>
      <c r="L238" s="614">
        <f t="shared" si="26"/>
        <v>371000</v>
      </c>
      <c r="M238" s="614">
        <f t="shared" si="26"/>
        <v>0</v>
      </c>
      <c r="N238" s="614">
        <f t="shared" si="26"/>
        <v>-236000</v>
      </c>
      <c r="O238" s="584"/>
      <c r="P238" s="584"/>
      <c r="AP238" s="6">
        <f>ROW()</f>
        <v>238</v>
      </c>
    </row>
    <row r="239" spans="2:42" ht="14" customHeight="1">
      <c r="B239" s="584"/>
      <c r="C239" s="584"/>
      <c r="D239" s="584"/>
      <c r="E239" s="584"/>
      <c r="F239" s="584"/>
      <c r="G239" s="584"/>
      <c r="H239" s="584"/>
      <c r="I239" s="615"/>
      <c r="J239" s="616" t="s">
        <v>854</v>
      </c>
      <c r="K239" s="617">
        <f>ROUND(K238/$K$243,-3)</f>
        <v>38000</v>
      </c>
      <c r="L239" s="584"/>
      <c r="M239" s="584"/>
      <c r="N239" s="584"/>
      <c r="O239" s="584"/>
      <c r="P239" s="584"/>
      <c r="AP239" s="6">
        <f>ROW()</f>
        <v>239</v>
      </c>
    </row>
    <row r="240" spans="2:42" ht="14" customHeight="1">
      <c r="AP240" s="6">
        <f>ROW()</f>
        <v>240</v>
      </c>
    </row>
    <row r="241" spans="2:42" ht="14" customHeight="1">
      <c r="G241" s="656" t="s">
        <v>851</v>
      </c>
      <c r="H241" s="571"/>
      <c r="I241" s="571"/>
      <c r="J241" s="663" t="s">
        <v>875</v>
      </c>
      <c r="K241" s="657">
        <v>0.3</v>
      </c>
      <c r="AP241" s="6">
        <f>ROW()</f>
        <v>241</v>
      </c>
    </row>
    <row r="242" spans="2:42" ht="14" customHeight="1">
      <c r="G242" s="658" t="s">
        <v>852</v>
      </c>
      <c r="H242" s="71"/>
      <c r="I242" s="71"/>
      <c r="J242" s="107" t="s">
        <v>875</v>
      </c>
      <c r="K242" s="659">
        <v>3</v>
      </c>
      <c r="AP242" s="6">
        <f>ROW()</f>
        <v>242</v>
      </c>
    </row>
    <row r="243" spans="2:42" ht="14" customHeight="1">
      <c r="G243" s="660" t="s">
        <v>853</v>
      </c>
      <c r="H243" s="661"/>
      <c r="I243" s="661"/>
      <c r="J243" s="664" t="s">
        <v>876</v>
      </c>
      <c r="K243" s="662">
        <f>K242*8760*K241/1000</f>
        <v>7.8840000000000003</v>
      </c>
      <c r="AP243" s="6">
        <f>ROW()</f>
        <v>243</v>
      </c>
    </row>
    <row r="244" spans="2:42" ht="14" customHeight="1">
      <c r="B244" s="32"/>
      <c r="AP244" s="6">
        <f>ROW()</f>
        <v>244</v>
      </c>
    </row>
    <row r="245" spans="2:42" ht="14" customHeight="1">
      <c r="AP245" s="6">
        <f>ROW()</f>
        <v>245</v>
      </c>
    </row>
  </sheetData>
  <mergeCells count="40">
    <mergeCell ref="M9:M12"/>
    <mergeCell ref="J68:P69"/>
    <mergeCell ref="D217:N217"/>
    <mergeCell ref="D225:N225"/>
    <mergeCell ref="D233:N233"/>
    <mergeCell ref="D216:N216"/>
    <mergeCell ref="D224:P224"/>
    <mergeCell ref="D232:P232"/>
    <mergeCell ref="B134:I135"/>
    <mergeCell ref="B164:I165"/>
    <mergeCell ref="Q9:Q12"/>
    <mergeCell ref="P9:P12"/>
    <mergeCell ref="B3:F5"/>
    <mergeCell ref="B117:K119"/>
    <mergeCell ref="N9:N12"/>
    <mergeCell ref="B52:M54"/>
    <mergeCell ref="B50:J51"/>
    <mergeCell ref="O9:O12"/>
    <mergeCell ref="B29:P31"/>
    <mergeCell ref="I9:I12"/>
    <mergeCell ref="L9:L12"/>
    <mergeCell ref="G4:I5"/>
    <mergeCell ref="Q3:R5"/>
    <mergeCell ref="K9:K12"/>
    <mergeCell ref="B208:B215"/>
    <mergeCell ref="D210:N210"/>
    <mergeCell ref="B9:H10"/>
    <mergeCell ref="J9:J12"/>
    <mergeCell ref="D211:N211"/>
    <mergeCell ref="C208:C215"/>
    <mergeCell ref="B190:N192"/>
    <mergeCell ref="M120:O122"/>
    <mergeCell ref="K50:K51"/>
    <mergeCell ref="B84:H85"/>
    <mergeCell ref="B126:K127"/>
    <mergeCell ref="O209:P215"/>
    <mergeCell ref="B194:N198"/>
    <mergeCell ref="B206:P206"/>
    <mergeCell ref="B200:N204"/>
    <mergeCell ref="B129:K130"/>
  </mergeCells>
  <phoneticPr fontId="3" type="noConversion"/>
  <hyperlinks>
    <hyperlink ref="G3" location="Electricity_Realignment_Sketch" display="This link"/>
  </hyperlinks>
  <printOptions gridLines="1"/>
  <pageMargins left="0.5" right="0.5" top="0.52" bottom="0.75" header="0.5" footer="0.5"/>
  <pageSetup scale="90" orientation="landscape"/>
  <headerFooter alignWithMargins="0"/>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56"/>
  <sheetViews>
    <sheetView workbookViewId="0"/>
  </sheetViews>
  <sheetFormatPr baseColWidth="10" defaultColWidth="8.83203125" defaultRowHeight="14" customHeight="1" x14ac:dyDescent="0"/>
  <cols>
    <col min="1" max="1" width="2.6640625" customWidth="1"/>
    <col min="11" max="12" width="9.1640625" customWidth="1"/>
    <col min="13" max="13" width="9.1640625" style="27" customWidth="1"/>
    <col min="14" max="16" width="9.1640625" style="71" customWidth="1"/>
    <col min="17" max="17" width="9.1640625" style="270" customWidth="1"/>
    <col min="18" max="41" width="9.1640625" customWidth="1"/>
    <col min="42" max="42" width="2.33203125" customWidth="1"/>
  </cols>
  <sheetData>
    <row r="1" spans="2:42" ht="14" customHeight="1">
      <c r="B1" s="59" t="s">
        <v>158</v>
      </c>
      <c r="P1" s="238">
        <f>Summary!F3</f>
        <v>41674</v>
      </c>
      <c r="AP1" s="7">
        <f>ROW()</f>
        <v>1</v>
      </c>
    </row>
    <row r="2" spans="2:42" ht="14" customHeight="1" thickBot="1">
      <c r="B2" s="1"/>
      <c r="M2" s="71"/>
      <c r="AP2" s="7">
        <f>ROW()</f>
        <v>2</v>
      </c>
    </row>
    <row r="3" spans="2:42" ht="14" customHeight="1">
      <c r="B3" s="815" t="s">
        <v>170</v>
      </c>
      <c r="C3" s="738"/>
      <c r="D3" s="738"/>
      <c r="E3" s="738"/>
      <c r="F3" s="738"/>
      <c r="G3" s="815" t="s">
        <v>614</v>
      </c>
      <c r="H3" s="738"/>
      <c r="I3" s="738"/>
      <c r="K3" s="356" t="str">
        <f>CONCATENATE("Tax Inputs (copied from 'Summary' Tab, Rows ",Summary!AO67,"-",Summary!AO79,")")</f>
        <v>Tax Inputs (copied from 'Summary' Tab, Rows 67-79)</v>
      </c>
      <c r="L3" s="357"/>
      <c r="M3" s="357"/>
      <c r="N3" s="357"/>
      <c r="O3" s="358"/>
      <c r="Q3" s="869" t="str">
        <f>CONCATENATE("Tax is from 'Baucus' tab, Cell F",Baucus!M50,", converted from tonnes to tons.")</f>
        <v>Tax is from 'Baucus' tab, Cell F50, converted from tonnes to tons.</v>
      </c>
      <c r="R3" s="870"/>
      <c r="AP3" s="7">
        <f>ROW()</f>
        <v>3</v>
      </c>
    </row>
    <row r="4" spans="2:42" ht="14" customHeight="1">
      <c r="B4" s="738"/>
      <c r="C4" s="738"/>
      <c r="D4" s="738"/>
      <c r="E4" s="738"/>
      <c r="F4" s="738"/>
      <c r="G4" s="738"/>
      <c r="H4" s="738"/>
      <c r="I4" s="738"/>
      <c r="K4" s="359" t="s">
        <v>493</v>
      </c>
      <c r="L4" s="71"/>
      <c r="M4" s="71"/>
      <c r="O4" s="729">
        <f>Baucus!F50/Parameters!H14*Parameters!H15</f>
        <v>102.17747870429761</v>
      </c>
      <c r="Q4" s="871"/>
      <c r="R4" s="872"/>
      <c r="AP4" s="7">
        <f>ROW()</f>
        <v>4</v>
      </c>
    </row>
    <row r="5" spans="2:42" ht="14" customHeight="1">
      <c r="B5" s="738"/>
      <c r="C5" s="738"/>
      <c r="D5" s="738"/>
      <c r="E5" s="738"/>
      <c r="F5" s="738"/>
      <c r="G5" s="738"/>
      <c r="H5" s="738"/>
      <c r="I5" s="738"/>
      <c r="K5" s="359" t="s">
        <v>494</v>
      </c>
      <c r="L5" s="71"/>
      <c r="M5" s="71"/>
      <c r="O5" s="361" t="str">
        <f>IF(Summary!J69=1,"By Constant Amount","By Constant Percent")</f>
        <v>By Constant Amount</v>
      </c>
      <c r="Q5" s="873"/>
      <c r="R5" s="874"/>
      <c r="AP5" s="7">
        <f>ROW()</f>
        <v>5</v>
      </c>
    </row>
    <row r="6" spans="2:42" ht="14" customHeight="1">
      <c r="B6" s="1"/>
      <c r="I6" s="3"/>
      <c r="K6" s="359" t="s">
        <v>495</v>
      </c>
      <c r="L6" s="71"/>
      <c r="M6" s="71"/>
      <c r="N6"/>
      <c r="O6" s="360" t="str">
        <f>IF(Summary!$J$69=1,CONCATENATE("$",Summary!$J$71,""),CONCATENATE("",Summary!$J$75*100,"%"))</f>
        <v>$0</v>
      </c>
      <c r="AP6" s="7">
        <f>ROW()</f>
        <v>6</v>
      </c>
    </row>
    <row r="7" spans="2:42" ht="14" customHeight="1" thickBot="1">
      <c r="B7" s="13" t="str">
        <f>CONCATENATE("Note: This worksheet is pre-formatted to print to four pages. Print area extends to ",AI13, ".")</f>
        <v>Note: This worksheet is pre-formatted to print to four pages. Print area extends to 2033.</v>
      </c>
      <c r="H7" s="3"/>
      <c r="K7" s="362" t="s">
        <v>496</v>
      </c>
      <c r="L7" s="363"/>
      <c r="M7" s="363"/>
      <c r="N7" s="363"/>
      <c r="O7" s="364" t="str">
        <f>Summary!J79</f>
        <v>Real</v>
      </c>
      <c r="AP7" s="7">
        <f>ROW()</f>
        <v>7</v>
      </c>
    </row>
    <row r="8" spans="2:42" ht="14" customHeight="1">
      <c r="B8" s="13"/>
      <c r="H8" s="3"/>
      <c r="J8" s="53"/>
      <c r="K8" s="12"/>
      <c r="L8" s="162"/>
      <c r="M8" s="162"/>
      <c r="N8" s="162"/>
      <c r="O8" s="162"/>
      <c r="P8" s="162"/>
      <c r="Q8" s="332"/>
      <c r="R8" s="12"/>
      <c r="S8" s="12"/>
      <c r="T8" s="12"/>
      <c r="U8" s="12"/>
      <c r="V8" s="12"/>
      <c r="W8" s="12"/>
      <c r="X8" s="12"/>
      <c r="Y8" s="12"/>
      <c r="Z8" s="12"/>
      <c r="AA8" s="12"/>
      <c r="AB8" s="12"/>
      <c r="AC8" s="12"/>
      <c r="AD8" s="12"/>
      <c r="AE8" s="12"/>
      <c r="AF8" s="12"/>
      <c r="AG8" s="12"/>
      <c r="AH8" s="12"/>
      <c r="AI8" s="12"/>
      <c r="AJ8" s="12"/>
      <c r="AK8" s="12"/>
      <c r="AL8" s="12"/>
      <c r="AM8" s="12"/>
      <c r="AP8" s="7">
        <f>ROW()</f>
        <v>8</v>
      </c>
    </row>
    <row r="9" spans="2:42" ht="14" customHeight="1">
      <c r="B9" s="826" t="s">
        <v>612</v>
      </c>
      <c r="C9" s="768"/>
      <c r="D9" s="768"/>
      <c r="E9" s="768"/>
      <c r="F9" s="768"/>
      <c r="G9" s="768"/>
      <c r="H9" s="768"/>
      <c r="I9" s="799" t="s">
        <v>185</v>
      </c>
      <c r="J9" s="799" t="s">
        <v>185</v>
      </c>
      <c r="K9" s="799" t="s">
        <v>185</v>
      </c>
      <c r="L9" s="799" t="s">
        <v>185</v>
      </c>
      <c r="M9" s="799" t="s">
        <v>185</v>
      </c>
      <c r="N9" s="799" t="s">
        <v>185</v>
      </c>
      <c r="O9" s="799" t="s">
        <v>185</v>
      </c>
      <c r="P9" s="799" t="s">
        <v>513</v>
      </c>
      <c r="Q9" s="765" t="s">
        <v>88</v>
      </c>
      <c r="R9" s="12"/>
      <c r="S9" s="12"/>
      <c r="T9" s="12"/>
      <c r="U9" s="12"/>
      <c r="V9" s="12"/>
      <c r="W9" s="12"/>
      <c r="X9" s="12"/>
      <c r="Y9" s="12"/>
      <c r="Z9" s="12"/>
      <c r="AA9" s="12"/>
      <c r="AB9" s="12"/>
      <c r="AC9" s="12"/>
      <c r="AD9" s="12"/>
      <c r="AE9" s="12"/>
      <c r="AF9" s="12"/>
      <c r="AG9" s="12"/>
      <c r="AH9" s="12"/>
      <c r="AI9" s="12"/>
      <c r="AJ9" s="12"/>
      <c r="AK9" s="12"/>
      <c r="AL9" s="12"/>
      <c r="AM9" s="12"/>
      <c r="AP9" s="7">
        <f>ROW()</f>
        <v>9</v>
      </c>
    </row>
    <row r="10" spans="2:42" ht="14" customHeight="1">
      <c r="B10" s="768"/>
      <c r="C10" s="768"/>
      <c r="D10" s="768"/>
      <c r="E10" s="768"/>
      <c r="F10" s="768"/>
      <c r="G10" s="768"/>
      <c r="H10" s="768"/>
      <c r="I10" s="827"/>
      <c r="J10" s="827"/>
      <c r="K10" s="827"/>
      <c r="L10" s="827"/>
      <c r="M10" s="827"/>
      <c r="N10" s="827"/>
      <c r="O10" s="827"/>
      <c r="P10" s="827"/>
      <c r="Q10" s="886"/>
      <c r="R10" s="12"/>
      <c r="S10" s="12"/>
      <c r="T10" s="12"/>
      <c r="U10" s="12"/>
      <c r="V10" s="12"/>
      <c r="W10" s="12"/>
      <c r="X10" s="12"/>
      <c r="Y10" s="12"/>
      <c r="Z10" s="12"/>
      <c r="AA10" s="12"/>
      <c r="AB10" s="12"/>
      <c r="AC10" s="12"/>
      <c r="AD10" s="12"/>
      <c r="AE10" s="12"/>
      <c r="AF10" s="12"/>
      <c r="AG10" s="12"/>
      <c r="AH10" s="12"/>
      <c r="AI10" s="12"/>
      <c r="AJ10" s="12"/>
      <c r="AK10" s="12"/>
      <c r="AL10" s="12"/>
      <c r="AM10" s="12"/>
      <c r="AP10" s="7">
        <f>ROW()</f>
        <v>10</v>
      </c>
    </row>
    <row r="11" spans="2:42" ht="14" customHeight="1">
      <c r="I11" s="827"/>
      <c r="J11" s="827"/>
      <c r="K11" s="827"/>
      <c r="L11" s="827"/>
      <c r="M11" s="827"/>
      <c r="N11" s="827"/>
      <c r="O11" s="827"/>
      <c r="P11" s="827"/>
      <c r="Q11" s="886"/>
      <c r="R11" s="12"/>
      <c r="S11" s="12"/>
      <c r="T11" s="12"/>
      <c r="U11" s="12"/>
      <c r="V11" s="12"/>
      <c r="AP11" s="7">
        <f>ROW()</f>
        <v>11</v>
      </c>
    </row>
    <row r="12" spans="2:42" ht="14" customHeight="1">
      <c r="B12" s="54" t="s">
        <v>611</v>
      </c>
      <c r="H12" s="53"/>
      <c r="I12" s="827"/>
      <c r="J12" s="827"/>
      <c r="K12" s="827"/>
      <c r="L12" s="827"/>
      <c r="M12" s="827"/>
      <c r="N12" s="827"/>
      <c r="O12" s="827"/>
      <c r="P12" s="827"/>
      <c r="Q12" s="887"/>
      <c r="AP12" s="7">
        <f>ROW()</f>
        <v>12</v>
      </c>
    </row>
    <row r="13" spans="2:42" ht="14" customHeight="1">
      <c r="B13" s="60" t="s">
        <v>610</v>
      </c>
      <c r="I13" s="132">
        <f>Summary!I116</f>
        <v>2005</v>
      </c>
      <c r="J13" s="132">
        <f>Summary!J116</f>
        <v>2006</v>
      </c>
      <c r="K13" s="132">
        <f>Summary!K116</f>
        <v>2007</v>
      </c>
      <c r="L13" s="132">
        <f>Summary!L116</f>
        <v>2008</v>
      </c>
      <c r="M13" s="132">
        <f>Summary!M116</f>
        <v>2009</v>
      </c>
      <c r="N13" s="132">
        <f>Summary!N116</f>
        <v>2010</v>
      </c>
      <c r="O13" s="132">
        <f>Summary!O116</f>
        <v>2011</v>
      </c>
      <c r="P13" s="132">
        <f>Summary!P116</f>
        <v>2012</v>
      </c>
      <c r="Q13" s="108">
        <f>Summary!Q116</f>
        <v>2015</v>
      </c>
      <c r="R13" s="12">
        <f t="shared" ref="R13:AM13" si="0">Q13+1</f>
        <v>2016</v>
      </c>
      <c r="S13" s="12">
        <f t="shared" si="0"/>
        <v>2017</v>
      </c>
      <c r="T13" s="12">
        <f t="shared" si="0"/>
        <v>2018</v>
      </c>
      <c r="U13" s="12">
        <f t="shared" si="0"/>
        <v>2019</v>
      </c>
      <c r="V13" s="12">
        <f t="shared" si="0"/>
        <v>2020</v>
      </c>
      <c r="W13" s="12">
        <f t="shared" si="0"/>
        <v>2021</v>
      </c>
      <c r="X13" s="12">
        <f t="shared" si="0"/>
        <v>2022</v>
      </c>
      <c r="Y13" s="12">
        <f t="shared" si="0"/>
        <v>2023</v>
      </c>
      <c r="Z13" s="12">
        <f t="shared" si="0"/>
        <v>2024</v>
      </c>
      <c r="AA13" s="12">
        <f t="shared" si="0"/>
        <v>2025</v>
      </c>
      <c r="AB13" s="12">
        <f t="shared" si="0"/>
        <v>2026</v>
      </c>
      <c r="AC13" s="12">
        <f t="shared" si="0"/>
        <v>2027</v>
      </c>
      <c r="AD13" s="12">
        <f t="shared" si="0"/>
        <v>2028</v>
      </c>
      <c r="AE13" s="12">
        <f t="shared" si="0"/>
        <v>2029</v>
      </c>
      <c r="AF13" s="12">
        <f t="shared" si="0"/>
        <v>2030</v>
      </c>
      <c r="AG13" s="12">
        <f t="shared" si="0"/>
        <v>2031</v>
      </c>
      <c r="AH13" s="12">
        <f t="shared" si="0"/>
        <v>2032</v>
      </c>
      <c r="AI13" s="12">
        <f t="shared" si="0"/>
        <v>2033</v>
      </c>
      <c r="AJ13" s="12">
        <f t="shared" si="0"/>
        <v>2034</v>
      </c>
      <c r="AK13" s="12">
        <f t="shared" si="0"/>
        <v>2035</v>
      </c>
      <c r="AL13" s="12">
        <f t="shared" si="0"/>
        <v>2036</v>
      </c>
      <c r="AM13" s="12">
        <f t="shared" si="0"/>
        <v>2037</v>
      </c>
      <c r="AP13" s="7">
        <f>ROW()</f>
        <v>13</v>
      </c>
    </row>
    <row r="14" spans="2:42" ht="14" customHeight="1">
      <c r="B14" s="352"/>
      <c r="H14" s="51"/>
      <c r="I14" s="51"/>
      <c r="J14" s="51"/>
      <c r="M14" s="71"/>
      <c r="AP14" s="7">
        <f>ROW()</f>
        <v>14</v>
      </c>
    </row>
    <row r="15" spans="2:42" s="352" customFormat="1" ht="14" customHeight="1">
      <c r="B15" s="352" t="s">
        <v>221</v>
      </c>
      <c r="M15" s="352">
        <f>Summary!L94</f>
        <v>0</v>
      </c>
      <c r="N15" s="352">
        <f>Summary!M94</f>
        <v>0</v>
      </c>
      <c r="O15" s="352">
        <f>Summary!O94</f>
        <v>0</v>
      </c>
      <c r="P15" s="353">
        <f>Summary!P94</f>
        <v>0</v>
      </c>
      <c r="Q15" s="354">
        <f>Summary!Q94</f>
        <v>1</v>
      </c>
      <c r="R15" s="352">
        <f>Summary!R94</f>
        <v>2</v>
      </c>
      <c r="S15" s="352">
        <f>Summary!S94</f>
        <v>3</v>
      </c>
      <c r="T15" s="352">
        <f>Summary!T94</f>
        <v>4</v>
      </c>
      <c r="U15" s="352">
        <f>Summary!U94</f>
        <v>5</v>
      </c>
      <c r="V15" s="352">
        <f>Summary!V94</f>
        <v>6</v>
      </c>
      <c r="W15" s="352">
        <f>Summary!W94</f>
        <v>7</v>
      </c>
      <c r="X15" s="352">
        <f>Summary!X94</f>
        <v>8</v>
      </c>
      <c r="Y15" s="352">
        <f>Summary!Y94</f>
        <v>9</v>
      </c>
      <c r="Z15" s="352">
        <f>Summary!Z94</f>
        <v>10</v>
      </c>
      <c r="AA15" s="352">
        <f>Summary!AA94</f>
        <v>11</v>
      </c>
      <c r="AB15" s="352">
        <f>Summary!AB94</f>
        <v>12</v>
      </c>
      <c r="AC15" s="352">
        <f>Summary!AC94</f>
        <v>13</v>
      </c>
      <c r="AD15" s="352">
        <f>Summary!AD94</f>
        <v>14</v>
      </c>
      <c r="AE15" s="352">
        <f>Summary!AE94</f>
        <v>15</v>
      </c>
      <c r="AF15" s="352">
        <f>Summary!AF94</f>
        <v>16</v>
      </c>
      <c r="AG15" s="352">
        <f>Summary!AG94</f>
        <v>17</v>
      </c>
      <c r="AH15" s="352">
        <f>Summary!AH94</f>
        <v>18</v>
      </c>
      <c r="AI15" s="352">
        <f>Summary!AI94</f>
        <v>19</v>
      </c>
      <c r="AJ15" s="352">
        <f>Summary!AJ94</f>
        <v>20</v>
      </c>
      <c r="AK15" s="352">
        <f>Summary!AK94</f>
        <v>21</v>
      </c>
      <c r="AL15" s="352">
        <f>Summary!AL94</f>
        <v>22</v>
      </c>
      <c r="AM15" s="352">
        <f>Summary!AM94</f>
        <v>23</v>
      </c>
      <c r="AP15" s="355">
        <f>ROW()</f>
        <v>15</v>
      </c>
    </row>
    <row r="16" spans="2:42" ht="14" customHeight="1">
      <c r="B16" s="352" t="str">
        <f>CONCATENATE("Tax in year shown, per ton of CO2 (taken directly from 'Summary' tab, Row ",Summary!AO97, ")")</f>
        <v>Tax in year shown, per ton of CO2 (taken directly from 'Summary' tab, Row 97)</v>
      </c>
      <c r="H16" s="2"/>
      <c r="I16" s="2"/>
      <c r="J16" s="2"/>
      <c r="L16" s="469"/>
      <c r="M16" s="469">
        <f t="shared" ref="M16:O17" si="1">N16</f>
        <v>0</v>
      </c>
      <c r="N16" s="469">
        <f t="shared" si="1"/>
        <v>0</v>
      </c>
      <c r="O16" s="469">
        <f t="shared" si="1"/>
        <v>0</v>
      </c>
      <c r="P16" s="470">
        <f>Summary!P97</f>
        <v>0</v>
      </c>
      <c r="Q16" s="469">
        <f>Summary!Q97*Baucus!$F$50/Baucus!$E$50</f>
        <v>102.17747870429758</v>
      </c>
      <c r="R16" s="469">
        <f>Summary!R97*Baucus!$F$50/Baucus!$E$50</f>
        <v>103.84735595940074</v>
      </c>
      <c r="S16" s="469">
        <f>Summary!S97*Baucus!$F$50/Baucus!$E$50</f>
        <v>105.54452386683229</v>
      </c>
      <c r="T16" s="469">
        <f>Summary!T97*Baucus!$F$50/Baucus!$E$50</f>
        <v>107.26942843524479</v>
      </c>
      <c r="U16" s="469">
        <f>Summary!U97*Baucus!$F$50/Baucus!$E$50</f>
        <v>109.02252296236973</v>
      </c>
      <c r="V16" s="469">
        <f>Summary!V97*Baucus!$F$50/Baucus!$E$50</f>
        <v>110.80426815414226</v>
      </c>
      <c r="W16" s="469">
        <f>Summary!W97*Baucus!$F$50/Baucus!$E$50</f>
        <v>112.61513224577274</v>
      </c>
      <c r="X16" s="469">
        <f>Summary!X97*Baucus!$F$50/Baucus!$E$50</f>
        <v>114.45559112479715</v>
      </c>
      <c r="Y16" s="469">
        <f>Summary!Y97*Baucus!$F$50/Baucus!$E$50</f>
        <v>116.32612845613806</v>
      </c>
      <c r="Z16" s="469">
        <f>Summary!Z97*Baucus!$F$50/Baucus!$E$50</f>
        <v>118.22723580921023</v>
      </c>
      <c r="AA16" s="469">
        <f>Summary!AA97*Baucus!$F$50/Baucus!$E$50</f>
        <v>120.15941278710243</v>
      </c>
      <c r="AB16" s="469">
        <f>Summary!AB97*Baucus!$F$50/Baucus!$E$50</f>
        <v>122.12316715787156</v>
      </c>
      <c r="AC16" s="469">
        <f>Summary!AC97*Baucus!$F$50/Baucus!$E$50</f>
        <v>124.11901498798159</v>
      </c>
      <c r="AD16" s="469">
        <f>Summary!AD97*Baucus!$F$50/Baucus!$E$50</f>
        <v>126.14748077792403</v>
      </c>
      <c r="AE16" s="469">
        <f>Summary!AE97*Baucus!$F$50/Baucus!$E$50</f>
        <v>128.20909760005409</v>
      </c>
      <c r="AF16" s="469">
        <f>Summary!AF97*Baucus!$F$50/Baucus!$E$50</f>
        <v>130.30440723868023</v>
      </c>
      <c r="AG16" s="469">
        <f>Summary!AG97*Baucus!$F$50/Baucus!$E$50</f>
        <v>132.4339603324425</v>
      </c>
      <c r="AH16" s="469">
        <f>Summary!AH97*Baucus!$F$50/Baucus!$E$50</f>
        <v>134.59831651901843</v>
      </c>
      <c r="AI16" s="469">
        <f>Summary!AI97*Baucus!$F$50/Baucus!$E$50</f>
        <v>136.7980445821932</v>
      </c>
      <c r="AJ16" s="469">
        <f>Summary!AJ97*Baucus!$F$50/Baucus!$E$50</f>
        <v>139.03372260133366</v>
      </c>
      <c r="AK16" s="469">
        <f>Summary!AK97*Baucus!$F$50/Baucus!$E$50</f>
        <v>141.30593810330535</v>
      </c>
      <c r="AL16" s="469">
        <f>Summary!AL97*Baucus!$F$50/Baucus!$E$50</f>
        <v>143.61528821687196</v>
      </c>
      <c r="AM16" s="469">
        <f>Summary!AM97*Baucus!$F$50/Baucus!$E$50</f>
        <v>145.96237982961844</v>
      </c>
      <c r="AN16" s="76"/>
      <c r="AO16" s="71"/>
      <c r="AP16" s="6">
        <f>ROW()</f>
        <v>16</v>
      </c>
    </row>
    <row r="17" spans="2:42" s="32" customFormat="1" ht="14" customHeight="1">
      <c r="B17" s="352" t="s">
        <v>613</v>
      </c>
      <c r="H17" s="18"/>
      <c r="I17" s="18"/>
      <c r="J17" s="18"/>
      <c r="M17" s="469">
        <f t="shared" si="1"/>
        <v>0</v>
      </c>
      <c r="N17" s="469">
        <f t="shared" si="1"/>
        <v>0</v>
      </c>
      <c r="O17" s="469">
        <f t="shared" si="1"/>
        <v>0</v>
      </c>
      <c r="P17" s="470">
        <f>P16*Parameters!$H$14/2000</f>
        <v>0</v>
      </c>
      <c r="Q17" s="469">
        <f>Q16*Parameters!$H$14/2000</f>
        <v>112.65067027148808</v>
      </c>
      <c r="R17" s="469">
        <f>R16*Parameters!$H$14/2000</f>
        <v>114.49170994523932</v>
      </c>
      <c r="S17" s="469">
        <f>S16*Parameters!$H$14/2000</f>
        <v>116.36283756318261</v>
      </c>
      <c r="T17" s="469">
        <f>T16*Parameters!$H$14/2000</f>
        <v>118.26454484985739</v>
      </c>
      <c r="U17" s="469">
        <f>U16*Parameters!$H$14/2000</f>
        <v>120.19733156601264</v>
      </c>
      <c r="V17" s="469">
        <f>V16*Parameters!$H$14/2000</f>
        <v>122.16170563994186</v>
      </c>
      <c r="W17" s="469">
        <f>W16*Parameters!$H$14/2000</f>
        <v>124.15818330096445</v>
      </c>
      <c r="X17" s="469">
        <f>X16*Parameters!$H$14/2000</f>
        <v>126.18728921508887</v>
      </c>
      <c r="Y17" s="469">
        <f>Y16*Parameters!$H$14/2000</f>
        <v>128.24955662289221</v>
      </c>
      <c r="Z17" s="469">
        <f>Z16*Parameters!$H$14/2000</f>
        <v>130.34552747965429</v>
      </c>
      <c r="AA17" s="469">
        <f>AA16*Parameters!$H$14/2000</f>
        <v>132.47575259778043</v>
      </c>
      <c r="AB17" s="469">
        <f>AB16*Parameters!$H$14/2000</f>
        <v>134.6407917915534</v>
      </c>
      <c r="AC17" s="469">
        <f>AC16*Parameters!$H$14/2000</f>
        <v>136.84121402424969</v>
      </c>
      <c r="AD17" s="469">
        <f>AD16*Parameters!$H$14/2000</f>
        <v>139.07759755766125</v>
      </c>
      <c r="AE17" s="469">
        <f>AE16*Parameters!$H$14/2000</f>
        <v>141.35053010405963</v>
      </c>
      <c r="AF17" s="469">
        <f>AF16*Parameters!$H$14/2000</f>
        <v>143.66060898064495</v>
      </c>
      <c r="AG17" s="469">
        <f>AG16*Parameters!$H$14/2000</f>
        <v>146.00844126651785</v>
      </c>
      <c r="AH17" s="469">
        <f>AH16*Parameters!$H$14/2000</f>
        <v>148.39464396221783</v>
      </c>
      <c r="AI17" s="469">
        <f>AI16*Parameters!$H$14/2000</f>
        <v>150.81984415186798</v>
      </c>
      <c r="AJ17" s="469">
        <f>AJ16*Parameters!$H$14/2000</f>
        <v>153.28467916797038</v>
      </c>
      <c r="AK17" s="469">
        <f>AK16*Parameters!$H$14/2000</f>
        <v>155.78979675889414</v>
      </c>
      <c r="AL17" s="469">
        <f>AL16*Parameters!$H$14/2000</f>
        <v>158.33585525910135</v>
      </c>
      <c r="AM17" s="469">
        <f>AM16*Parameters!$H$14/2000</f>
        <v>160.92352376215433</v>
      </c>
      <c r="AP17" s="88">
        <f>ROW()</f>
        <v>17</v>
      </c>
    </row>
    <row r="18" spans="2:42" s="32" customFormat="1" ht="14" customHeight="1">
      <c r="B18" s="352" t="s">
        <v>470</v>
      </c>
      <c r="H18" s="18"/>
      <c r="I18" s="18"/>
      <c r="J18" s="18"/>
      <c r="M18" s="469">
        <f>M17*Parameters!$H$14/2000</f>
        <v>0</v>
      </c>
      <c r="N18" s="469">
        <f>N17*Parameters!$H$14/2000</f>
        <v>0</v>
      </c>
      <c r="O18" s="469">
        <f>O17*Parameters!$H$14/2000</f>
        <v>0</v>
      </c>
      <c r="P18" s="470">
        <f>P16*P60*(1/Parameters!$H$15)</f>
        <v>0</v>
      </c>
      <c r="Q18" s="469">
        <f>Q16*Q60*(1/Parameters!$H$15)</f>
        <v>0.95006275136241258</v>
      </c>
      <c r="R18" s="469">
        <f>R16*R60*(1/Parameters!$H$15)</f>
        <v>0.96564594018756822</v>
      </c>
      <c r="S18" s="469">
        <f>S16*S60*(1/Parameters!$H$15)</f>
        <v>0.98148466315264471</v>
      </c>
      <c r="T18" s="469">
        <f>T16*T60*(1/Parameters!$H$15)</f>
        <v>0.99758310952334017</v>
      </c>
      <c r="U18" s="469">
        <f>U16*U60*(1/Parameters!$H$15)</f>
        <v>1.0139455372295809</v>
      </c>
      <c r="V18" s="469">
        <f>V16*V60*(1/Parameters!$H$15)</f>
        <v>1.0305762739907307</v>
      </c>
      <c r="W18" s="469">
        <f>W16*W60*(1/Parameters!$H$15)</f>
        <v>1.0474797184592366</v>
      </c>
      <c r="X18" s="469">
        <f>X16*X60*(1/Parameters!$H$15)</f>
        <v>1.0646603413830134</v>
      </c>
      <c r="Y18" s="469">
        <f>Y16*Y60*(1/Parameters!$H$15)</f>
        <v>1.0821226867868663</v>
      </c>
      <c r="Z18" s="469">
        <f>Z16*Z60*(1/Parameters!$H$15)</f>
        <v>1.0998713731732819</v>
      </c>
      <c r="AA18" s="469">
        <f>AA16*AA60*(1/Parameters!$H$15)</f>
        <v>1.1179110947428783</v>
      </c>
      <c r="AB18" s="469">
        <f>AB16*AB60*(1/Parameters!$H$15)</f>
        <v>1.1362466226348618</v>
      </c>
      <c r="AC18" s="469">
        <f>AC16*AC60*(1/Parameters!$H$15)</f>
        <v>1.1548828061878011</v>
      </c>
      <c r="AD18" s="469">
        <f>AD16*AD60*(1/Parameters!$H$15)</f>
        <v>1.1738245742210613</v>
      </c>
      <c r="AE18" s="469">
        <f>AE16*AE60*(1/Parameters!$H$15)</f>
        <v>1.1930769363372273</v>
      </c>
      <c r="AF18" s="469">
        <f>AF16*AF60*(1/Parameters!$H$15)</f>
        <v>1.2126449842458733</v>
      </c>
      <c r="AG18" s="469">
        <f>AG16*AG60*(1/Parameters!$H$15)</f>
        <v>1.2325338931090097</v>
      </c>
      <c r="AH18" s="469">
        <f>AH16*AH60*(1/Parameters!$H$15)</f>
        <v>1.2527489229085864</v>
      </c>
      <c r="AI18" s="469">
        <f>AI16*AI60*(1/Parameters!$H$15)</f>
        <v>1.2732954198363879</v>
      </c>
      <c r="AJ18" s="469">
        <f>AJ16*AJ60*(1/Parameters!$H$15)</f>
        <v>1.294178817706706</v>
      </c>
      <c r="AK18" s="469">
        <f>AK16*AK60*(1/Parameters!$H$15)</f>
        <v>1.315404639392157</v>
      </c>
      <c r="AL18" s="469">
        <f>AL16*AL60*(1/Parameters!$H$15)</f>
        <v>1.33697849828302</v>
      </c>
      <c r="AM18" s="469">
        <f>AM16*AM60*(1/Parameters!$H$15)</f>
        <v>1.3589060997704869</v>
      </c>
      <c r="AP18" s="7">
        <f>ROW()</f>
        <v>18</v>
      </c>
    </row>
    <row r="19" spans="2:42" ht="14" customHeight="1">
      <c r="B19" s="352" t="s">
        <v>477</v>
      </c>
      <c r="K19" s="345">
        <f>Summary!J83*IF(Summary!C89="YES",1,0)/100</f>
        <v>0</v>
      </c>
      <c r="L19" s="71"/>
      <c r="M19" s="469">
        <v>0</v>
      </c>
      <c r="N19" s="469">
        <v>0</v>
      </c>
      <c r="O19" s="469">
        <v>0</v>
      </c>
      <c r="P19" s="470">
        <v>0</v>
      </c>
      <c r="Q19" s="469">
        <f>K19</f>
        <v>0</v>
      </c>
      <c r="R19" s="469">
        <f>$Q$19*(1+IF(Summary!$J$69=2,Summary!$J$75,IF(Summary!$J$79="Real",AEO!$N$18-1,0)))^(R13-$Q13)</f>
        <v>0</v>
      </c>
      <c r="S19" s="469">
        <f>$Q$19*(1+IF(Summary!$J$69=2,Summary!$J$75,IF(Summary!$J$79="Real",AEO!$N$18-1,0)))^(S13-$Q13)</f>
        <v>0</v>
      </c>
      <c r="T19" s="469">
        <f>$Q$19*(1+IF(Summary!$J$69=2,Summary!$J$75,IF(Summary!$J$79="Real",AEO!$N$18-1,0)))^(T13-$Q13)</f>
        <v>0</v>
      </c>
      <c r="U19" s="469">
        <f>$Q$19*(1+IF(Summary!$J$69=2,Summary!$J$75,IF(Summary!$J$79="Real",AEO!$N$18-1,0)))^(U13-$Q13)</f>
        <v>0</v>
      </c>
      <c r="V19" s="469">
        <f>$Q$19*(1+IF(Summary!$J$69=2,Summary!$J$75,IF(Summary!$J$79="Real",AEO!$N$18-1,0)))^(V13-$Q13)</f>
        <v>0</v>
      </c>
      <c r="W19" s="469">
        <f>$Q$19*(1+IF(Summary!$J$69=2,Summary!$J$75,IF(Summary!$J$79="Real",AEO!$N$18-1,0)))^(W13-$Q13)</f>
        <v>0</v>
      </c>
      <c r="X19" s="469">
        <f>$Q$19*(1+IF(Summary!$J$69=2,Summary!$J$75,IF(Summary!$J$79="Real",AEO!$N$18-1,0)))^(X13-$Q13)</f>
        <v>0</v>
      </c>
      <c r="Y19" s="469">
        <f>$Q$19*(1+IF(Summary!$J$69=2,Summary!$J$75,IF(Summary!$J$79="Real",AEO!$N$18-1,0)))^(Y13-$Q13)</f>
        <v>0</v>
      </c>
      <c r="Z19" s="469">
        <f>$Q$19*(1+IF(Summary!$J$69=2,Summary!$J$75,IF(Summary!$J$79="Real",AEO!$N$18-1,0)))^(Z13-$Q13)</f>
        <v>0</v>
      </c>
      <c r="AA19" s="469">
        <f>$Q$19*(1+IF(Summary!$J$69=2,Summary!$J$75,IF(Summary!$J$79="Real",AEO!$N$18-1,0)))^(AA13-$Q13)</f>
        <v>0</v>
      </c>
      <c r="AB19" s="469">
        <f>$Q$19*(1+IF(Summary!$J$69=2,Summary!$J$75,IF(Summary!$J$79="Real",AEO!$N$18-1,0)))^(AB13-$Q13)</f>
        <v>0</v>
      </c>
      <c r="AC19" s="469">
        <f>$Q$19*(1+IF(Summary!$J$69=2,Summary!$J$75,IF(Summary!$J$79="Real",AEO!$N$18-1,0)))^(AC13-$Q13)</f>
        <v>0</v>
      </c>
      <c r="AD19" s="469">
        <f>$Q$19*(1+IF(Summary!$J$69=2,Summary!$J$75,IF(Summary!$J$79="Real",AEO!$N$18-1,0)))^(AD13-$Q13)</f>
        <v>0</v>
      </c>
      <c r="AE19" s="469">
        <f>$Q$19*(1+IF(Summary!$J$69=2,Summary!$J$75,IF(Summary!$J$79="Real",AEO!$N$18-1,0)))^(AE13-$Q13)</f>
        <v>0</v>
      </c>
      <c r="AF19" s="469">
        <f>$Q$19*(1+IF(Summary!$J$69=2,Summary!$J$75,IF(Summary!$J$79="Real",AEO!$N$18-1,0)))^(AF13-$Q13)</f>
        <v>0</v>
      </c>
      <c r="AG19" s="469">
        <f>$Q$19*(1+IF(Summary!$J$69=2,Summary!$J$75,IF(Summary!$J$79="Real",AEO!$N$18-1,0)))^(AG13-$Q13)</f>
        <v>0</v>
      </c>
      <c r="AH19" s="469">
        <f>$Q$19*(1+IF(Summary!$J$69=2,Summary!$J$75,IF(Summary!$J$79="Real",AEO!$N$18-1,0)))^(AH13-$Q13)</f>
        <v>0</v>
      </c>
      <c r="AI19" s="469">
        <f>$Q$19*(1+IF(Summary!$J$69=2,Summary!$J$75,IF(Summary!$J$79="Real",AEO!$N$18-1,0)))^(AI13-$Q13)</f>
        <v>0</v>
      </c>
      <c r="AJ19" s="469">
        <f>$Q$19*(1+IF(Summary!$J$69=2,Summary!$J$75,IF(Summary!$J$79="Real",AEO!$N$18-1,0)))^(AJ13-$Q13)</f>
        <v>0</v>
      </c>
      <c r="AK19" s="469">
        <f>$Q$19*(1+IF(Summary!$J$69=2,Summary!$J$75,IF(Summary!$J$79="Real",AEO!$N$18-1,0)))^(AK13-$Q13)</f>
        <v>0</v>
      </c>
      <c r="AL19" s="469">
        <f>$Q$19*(1+IF(Summary!$J$69=2,Summary!$J$75,IF(Summary!$J$79="Real",AEO!$N$18-1,0)))^(AL13-$Q13)</f>
        <v>0</v>
      </c>
      <c r="AM19" s="469">
        <f>$Q$19*(1+IF(Summary!$J$69=2,Summary!$J$75,IF(Summary!$J$79="Real",AEO!$N$18-1,0)))^(AM13-$Q13)</f>
        <v>0</v>
      </c>
      <c r="AN19" s="328"/>
      <c r="AO19" s="71"/>
      <c r="AP19" s="7">
        <f>ROW()</f>
        <v>19</v>
      </c>
    </row>
    <row r="20" spans="2:42" ht="14" customHeight="1">
      <c r="B20" s="352" t="s">
        <v>478</v>
      </c>
      <c r="K20" s="330"/>
      <c r="L20" s="331"/>
      <c r="M20" s="469">
        <f>M19*Parameters!$H$15/M60</f>
        <v>0</v>
      </c>
      <c r="N20" s="469">
        <f>N19*Parameters!$H$15/N60</f>
        <v>0</v>
      </c>
      <c r="O20" s="469">
        <f>O19*Parameters!$H$15/O60</f>
        <v>0</v>
      </c>
      <c r="P20" s="470">
        <f>P19*Parameters!$H$15/P60</f>
        <v>0</v>
      </c>
      <c r="Q20" s="469">
        <f>Q19*Parameters!$H$15/Q60</f>
        <v>0</v>
      </c>
      <c r="R20" s="469">
        <f>R19*Parameters!$H$15/R60</f>
        <v>0</v>
      </c>
      <c r="S20" s="469">
        <f>S19*Parameters!$H$15/S60</f>
        <v>0</v>
      </c>
      <c r="T20" s="469">
        <f>T19*Parameters!$H$15/T60</f>
        <v>0</v>
      </c>
      <c r="U20" s="469">
        <f>U19*Parameters!$H$15/U60</f>
        <v>0</v>
      </c>
      <c r="V20" s="469">
        <f>V19*Parameters!$H$15/V60</f>
        <v>0</v>
      </c>
      <c r="W20" s="469">
        <f>W19*Parameters!$H$15/W60</f>
        <v>0</v>
      </c>
      <c r="X20" s="469">
        <f>X19*Parameters!$H$15/X60</f>
        <v>0</v>
      </c>
      <c r="Y20" s="469">
        <f>Y19*Parameters!$H$15/Y60</f>
        <v>0</v>
      </c>
      <c r="Z20" s="469">
        <f>Z19*Parameters!$H$15/Z60</f>
        <v>0</v>
      </c>
      <c r="AA20" s="469">
        <f>AA19*Parameters!$H$15/AA60</f>
        <v>0</v>
      </c>
      <c r="AB20" s="469">
        <f>AB19*Parameters!$H$15/AB60</f>
        <v>0</v>
      </c>
      <c r="AC20" s="469">
        <f>AC19*Parameters!$H$15/AC60</f>
        <v>0</v>
      </c>
      <c r="AD20" s="469">
        <f>AD19*Parameters!$H$15/AD60</f>
        <v>0</v>
      </c>
      <c r="AE20" s="469">
        <f>AE19*Parameters!$H$15/AE60</f>
        <v>0</v>
      </c>
      <c r="AF20" s="469">
        <f>AF19*Parameters!$H$15/AF60</f>
        <v>0</v>
      </c>
      <c r="AG20" s="469">
        <f>AG19*Parameters!$H$15/AG60</f>
        <v>0</v>
      </c>
      <c r="AH20" s="469">
        <f>AH19*Parameters!$H$15/AH60</f>
        <v>0</v>
      </c>
      <c r="AI20" s="469">
        <f>AI19*Parameters!$H$15/AI60</f>
        <v>0</v>
      </c>
      <c r="AJ20" s="469">
        <f>AJ19*Parameters!$H$15/AJ60</f>
        <v>0</v>
      </c>
      <c r="AK20" s="469">
        <f>AK19*Parameters!$H$15/AK60</f>
        <v>0</v>
      </c>
      <c r="AL20" s="469">
        <f>AL19*Parameters!$H$15/AL60</f>
        <v>0</v>
      </c>
      <c r="AM20" s="469">
        <f>AM19*Parameters!$H$15/AM60</f>
        <v>0</v>
      </c>
      <c r="AN20" s="328"/>
      <c r="AO20" s="71"/>
      <c r="AP20" s="7">
        <f>ROW()</f>
        <v>20</v>
      </c>
    </row>
    <row r="21" spans="2:42" ht="14" customHeight="1">
      <c r="B21" s="352" t="s">
        <v>475</v>
      </c>
      <c r="J21" s="330"/>
      <c r="K21" s="331"/>
      <c r="L21" s="71"/>
      <c r="M21" s="469">
        <f t="shared" ref="M21:AM21" si="2">M18+M19</f>
        <v>0</v>
      </c>
      <c r="N21" s="469">
        <f t="shared" si="2"/>
        <v>0</v>
      </c>
      <c r="O21" s="469">
        <f t="shared" si="2"/>
        <v>0</v>
      </c>
      <c r="P21" s="470">
        <f t="shared" si="2"/>
        <v>0</v>
      </c>
      <c r="Q21" s="469">
        <f t="shared" si="2"/>
        <v>0.95006275136241258</v>
      </c>
      <c r="R21" s="469">
        <f t="shared" si="2"/>
        <v>0.96564594018756822</v>
      </c>
      <c r="S21" s="469">
        <f t="shared" si="2"/>
        <v>0.98148466315264471</v>
      </c>
      <c r="T21" s="469">
        <f t="shared" si="2"/>
        <v>0.99758310952334017</v>
      </c>
      <c r="U21" s="469">
        <f t="shared" si="2"/>
        <v>1.0139455372295809</v>
      </c>
      <c r="V21" s="469">
        <f t="shared" si="2"/>
        <v>1.0305762739907307</v>
      </c>
      <c r="W21" s="469">
        <f t="shared" si="2"/>
        <v>1.0474797184592366</v>
      </c>
      <c r="X21" s="469">
        <f t="shared" si="2"/>
        <v>1.0646603413830134</v>
      </c>
      <c r="Y21" s="469">
        <f t="shared" si="2"/>
        <v>1.0821226867868663</v>
      </c>
      <c r="Z21" s="469">
        <f t="shared" si="2"/>
        <v>1.0998713731732819</v>
      </c>
      <c r="AA21" s="469">
        <f t="shared" si="2"/>
        <v>1.1179110947428783</v>
      </c>
      <c r="AB21" s="469">
        <f t="shared" si="2"/>
        <v>1.1362466226348618</v>
      </c>
      <c r="AC21" s="469">
        <f t="shared" si="2"/>
        <v>1.1548828061878011</v>
      </c>
      <c r="AD21" s="469">
        <f t="shared" si="2"/>
        <v>1.1738245742210613</v>
      </c>
      <c r="AE21" s="469">
        <f t="shared" si="2"/>
        <v>1.1930769363372273</v>
      </c>
      <c r="AF21" s="469">
        <f t="shared" si="2"/>
        <v>1.2126449842458733</v>
      </c>
      <c r="AG21" s="469">
        <f t="shared" si="2"/>
        <v>1.2325338931090097</v>
      </c>
      <c r="AH21" s="469">
        <f t="shared" si="2"/>
        <v>1.2527489229085864</v>
      </c>
      <c r="AI21" s="469">
        <f t="shared" si="2"/>
        <v>1.2732954198363879</v>
      </c>
      <c r="AJ21" s="469">
        <f t="shared" si="2"/>
        <v>1.294178817706706</v>
      </c>
      <c r="AK21" s="469">
        <f t="shared" si="2"/>
        <v>1.315404639392157</v>
      </c>
      <c r="AL21" s="469">
        <f t="shared" si="2"/>
        <v>1.33697849828302</v>
      </c>
      <c r="AM21" s="469">
        <f t="shared" si="2"/>
        <v>1.3589060997704869</v>
      </c>
      <c r="AN21" s="328"/>
      <c r="AO21" s="71"/>
      <c r="AP21" s="7">
        <f>ROW()</f>
        <v>21</v>
      </c>
    </row>
    <row r="22" spans="2:42" ht="14" customHeight="1">
      <c r="B22" s="352" t="s">
        <v>476</v>
      </c>
      <c r="L22" s="71"/>
      <c r="M22" s="469">
        <f t="shared" ref="M22:R22" si="3">M20+M16</f>
        <v>0</v>
      </c>
      <c r="N22" s="469">
        <f t="shared" si="3"/>
        <v>0</v>
      </c>
      <c r="O22" s="469">
        <f t="shared" si="3"/>
        <v>0</v>
      </c>
      <c r="P22" s="470">
        <f t="shared" si="3"/>
        <v>0</v>
      </c>
      <c r="Q22" s="469">
        <f t="shared" si="3"/>
        <v>102.17747870429758</v>
      </c>
      <c r="R22" s="469">
        <f t="shared" si="3"/>
        <v>103.84735595940074</v>
      </c>
      <c r="S22" s="469">
        <f t="shared" ref="S22:AM22" si="4">S20+S16</f>
        <v>105.54452386683229</v>
      </c>
      <c r="T22" s="469">
        <f t="shared" si="4"/>
        <v>107.26942843524479</v>
      </c>
      <c r="U22" s="469">
        <f t="shared" si="4"/>
        <v>109.02252296236973</v>
      </c>
      <c r="V22" s="469">
        <f t="shared" si="4"/>
        <v>110.80426815414226</v>
      </c>
      <c r="W22" s="469">
        <f t="shared" si="4"/>
        <v>112.61513224577274</v>
      </c>
      <c r="X22" s="469">
        <f t="shared" si="4"/>
        <v>114.45559112479715</v>
      </c>
      <c r="Y22" s="469">
        <f t="shared" si="4"/>
        <v>116.32612845613806</v>
      </c>
      <c r="Z22" s="469">
        <f t="shared" si="4"/>
        <v>118.22723580921023</v>
      </c>
      <c r="AA22" s="469">
        <f t="shared" si="4"/>
        <v>120.15941278710243</v>
      </c>
      <c r="AB22" s="469">
        <f t="shared" si="4"/>
        <v>122.12316715787156</v>
      </c>
      <c r="AC22" s="469">
        <f t="shared" si="4"/>
        <v>124.11901498798159</v>
      </c>
      <c r="AD22" s="469">
        <f t="shared" si="4"/>
        <v>126.14748077792403</v>
      </c>
      <c r="AE22" s="469">
        <f t="shared" si="4"/>
        <v>128.20909760005409</v>
      </c>
      <c r="AF22" s="469">
        <f t="shared" si="4"/>
        <v>130.30440723868023</v>
      </c>
      <c r="AG22" s="469">
        <f t="shared" si="4"/>
        <v>132.4339603324425</v>
      </c>
      <c r="AH22" s="469">
        <f t="shared" si="4"/>
        <v>134.59831651901843</v>
      </c>
      <c r="AI22" s="469">
        <f t="shared" si="4"/>
        <v>136.7980445821932</v>
      </c>
      <c r="AJ22" s="469">
        <f t="shared" si="4"/>
        <v>139.03372260133366</v>
      </c>
      <c r="AK22" s="469">
        <f t="shared" si="4"/>
        <v>141.30593810330535</v>
      </c>
      <c r="AL22" s="469">
        <f t="shared" si="4"/>
        <v>143.61528821687196</v>
      </c>
      <c r="AM22" s="469">
        <f t="shared" si="4"/>
        <v>145.96237982961844</v>
      </c>
      <c r="AP22" s="7">
        <f>ROW()</f>
        <v>22</v>
      </c>
    </row>
    <row r="23" spans="2:42" ht="14" customHeight="1">
      <c r="M23" s="71"/>
      <c r="Q23" s="333"/>
      <c r="R23" s="329"/>
      <c r="S23" s="329"/>
      <c r="T23" s="329"/>
      <c r="U23" s="329"/>
      <c r="V23" s="329"/>
      <c r="W23" s="329"/>
      <c r="X23" s="329"/>
      <c r="Y23" s="329"/>
      <c r="Z23" s="329"/>
      <c r="AA23" s="329"/>
      <c r="AB23" s="329"/>
      <c r="AC23" s="329"/>
      <c r="AD23" s="329"/>
      <c r="AE23" s="329"/>
      <c r="AF23" s="329"/>
      <c r="AG23" s="329"/>
      <c r="AH23" s="329"/>
      <c r="AI23" s="329"/>
      <c r="AJ23" s="329"/>
      <c r="AK23" s="329"/>
      <c r="AL23" s="329"/>
      <c r="AM23" s="329"/>
      <c r="AN23" s="71"/>
      <c r="AP23" s="7">
        <f>ROW()</f>
        <v>23</v>
      </c>
    </row>
    <row r="24" spans="2:42" ht="14" customHeight="1">
      <c r="B24" t="s">
        <v>114</v>
      </c>
      <c r="E24" s="91" t="s">
        <v>484</v>
      </c>
      <c r="K24">
        <v>5.2530000000000001</v>
      </c>
      <c r="M24" s="71"/>
      <c r="W24" s="71"/>
      <c r="X24" s="71"/>
      <c r="Y24" s="71"/>
      <c r="Z24" s="71"/>
      <c r="AA24" s="71"/>
      <c r="AB24" s="71"/>
      <c r="AC24" s="71"/>
      <c r="AD24" s="71"/>
      <c r="AE24" s="71"/>
      <c r="AF24" s="71"/>
      <c r="AG24" s="71"/>
      <c r="AH24" s="71"/>
      <c r="AI24" s="71"/>
      <c r="AJ24" s="71"/>
      <c r="AK24" s="71"/>
      <c r="AL24" s="71"/>
      <c r="AM24" s="71"/>
      <c r="AN24" s="71"/>
      <c r="AP24" s="7">
        <f>ROW()</f>
        <v>24</v>
      </c>
    </row>
    <row r="25" spans="2:42" ht="14" customHeight="1">
      <c r="B25" t="s">
        <v>115</v>
      </c>
      <c r="K25" s="22">
        <f>K24*1000000/Parameters!$H$17</f>
        <v>125071.42857142857</v>
      </c>
      <c r="M25" s="71"/>
      <c r="W25" s="71"/>
      <c r="X25" s="71"/>
      <c r="Y25" s="71"/>
      <c r="Z25" s="71"/>
      <c r="AA25" s="71"/>
      <c r="AB25" s="71"/>
      <c r="AC25" s="71"/>
      <c r="AD25" s="71"/>
      <c r="AE25" s="71"/>
      <c r="AF25" s="71"/>
      <c r="AG25" s="71"/>
      <c r="AH25" s="71"/>
      <c r="AI25" s="71"/>
      <c r="AJ25" s="71"/>
      <c r="AK25" s="71"/>
      <c r="AL25" s="71"/>
      <c r="AM25" s="71"/>
      <c r="AN25" s="71"/>
      <c r="AP25" s="7">
        <f>ROW()</f>
        <v>25</v>
      </c>
    </row>
    <row r="26" spans="2:42" ht="14" customHeight="1">
      <c r="B26" s="8" t="s">
        <v>116</v>
      </c>
      <c r="K26" s="29">
        <f>Emissions!J99/Parameters!H16</f>
        <v>5.3373913674958864</v>
      </c>
      <c r="L26" s="22"/>
      <c r="M26" s="71"/>
      <c r="W26" s="71"/>
      <c r="X26" s="71"/>
      <c r="Y26" s="71"/>
      <c r="Z26" s="71"/>
      <c r="AA26" s="71"/>
      <c r="AB26" s="71"/>
      <c r="AC26" s="71"/>
      <c r="AD26" s="71"/>
      <c r="AE26" s="71"/>
      <c r="AF26" s="71"/>
      <c r="AG26" s="71"/>
      <c r="AH26" s="71"/>
      <c r="AI26" s="71"/>
      <c r="AJ26" s="71"/>
      <c r="AK26" s="71"/>
      <c r="AL26" s="71"/>
      <c r="AM26" s="71"/>
      <c r="AN26" s="71"/>
      <c r="AP26" s="7">
        <f>ROW()</f>
        <v>26</v>
      </c>
    </row>
    <row r="27" spans="2:42" ht="14" customHeight="1">
      <c r="B27" s="134" t="s">
        <v>195</v>
      </c>
      <c r="K27" s="7">
        <f>K26*1000000/K25</f>
        <v>42.674745371183555</v>
      </c>
      <c r="L27" s="29"/>
      <c r="M27" s="71"/>
      <c r="W27" s="71"/>
      <c r="X27" s="71"/>
      <c r="Y27" s="71"/>
      <c r="Z27" s="71"/>
      <c r="AA27" s="71"/>
      <c r="AB27" s="71"/>
      <c r="AC27" s="71"/>
      <c r="AD27" s="71"/>
      <c r="AE27" s="71"/>
      <c r="AF27" s="71"/>
      <c r="AG27" s="71"/>
      <c r="AH27" s="71"/>
      <c r="AI27" s="71"/>
      <c r="AJ27" s="71"/>
      <c r="AK27" s="71"/>
      <c r="AL27" s="71"/>
      <c r="AM27" s="71"/>
      <c r="AN27" s="71"/>
      <c r="AP27" s="7">
        <f>ROW()</f>
        <v>27</v>
      </c>
    </row>
    <row r="28" spans="2:42" ht="14" customHeight="1">
      <c r="B28" s="8" t="s">
        <v>117</v>
      </c>
      <c r="K28" s="191">
        <f>K26*Parameters!$H$13</f>
        <v>19.570435014151581</v>
      </c>
      <c r="L28" s="20"/>
      <c r="M28" s="71"/>
      <c r="Q28" s="334"/>
      <c r="R28" s="163"/>
      <c r="S28" s="163"/>
      <c r="T28" s="163"/>
      <c r="U28" s="163"/>
      <c r="V28" s="163"/>
      <c r="W28" s="163"/>
      <c r="X28" s="163"/>
      <c r="Y28" s="163"/>
      <c r="Z28" s="163"/>
      <c r="AA28" s="163"/>
      <c r="AB28" s="163"/>
      <c r="AC28" s="163"/>
      <c r="AD28" s="163"/>
      <c r="AE28" s="163"/>
      <c r="AF28" s="163"/>
      <c r="AG28" s="163"/>
      <c r="AH28" s="163"/>
      <c r="AI28" s="163"/>
      <c r="AJ28" s="163"/>
      <c r="AK28" s="163"/>
      <c r="AL28" s="163"/>
      <c r="AM28" s="163"/>
      <c r="AN28" s="71"/>
      <c r="AP28" s="7">
        <f>ROW()</f>
        <v>28</v>
      </c>
    </row>
    <row r="29" spans="2:42" ht="14" customHeight="1">
      <c r="I29" s="20"/>
      <c r="J29" s="20"/>
      <c r="K29" s="29"/>
      <c r="L29" s="29"/>
      <c r="M29" s="71"/>
      <c r="Q29" s="334"/>
      <c r="R29" s="163"/>
      <c r="S29" s="163"/>
      <c r="T29" s="163"/>
      <c r="U29" s="163"/>
      <c r="V29" s="163"/>
      <c r="W29" s="163"/>
      <c r="X29" s="163"/>
      <c r="Y29" s="163"/>
      <c r="Z29" s="163"/>
      <c r="AA29" s="163"/>
      <c r="AB29" s="163"/>
      <c r="AC29" s="163"/>
      <c r="AD29" s="163"/>
      <c r="AE29" s="163"/>
      <c r="AF29" s="163"/>
      <c r="AG29" s="163"/>
      <c r="AH29" s="163"/>
      <c r="AI29" s="163"/>
      <c r="AJ29" s="163"/>
      <c r="AK29" s="163"/>
      <c r="AL29" s="163"/>
      <c r="AM29" s="163"/>
      <c r="AN29" s="71"/>
      <c r="AP29" s="7">
        <f>ROW()</f>
        <v>29</v>
      </c>
    </row>
    <row r="30" spans="2:42" ht="14" customHeight="1">
      <c r="B30" s="8" t="s">
        <v>485</v>
      </c>
      <c r="I30" s="127">
        <v>2005</v>
      </c>
      <c r="J30" s="127">
        <v>2006</v>
      </c>
      <c r="K30" s="127">
        <f t="shared" ref="K30:AM30" si="5">K13</f>
        <v>2007</v>
      </c>
      <c r="L30" s="127">
        <f t="shared" si="5"/>
        <v>2008</v>
      </c>
      <c r="M30" s="127">
        <f t="shared" si="5"/>
        <v>2009</v>
      </c>
      <c r="N30" s="127">
        <f t="shared" si="5"/>
        <v>2010</v>
      </c>
      <c r="O30" s="127">
        <f t="shared" si="5"/>
        <v>2011</v>
      </c>
      <c r="P30" s="127">
        <f t="shared" si="5"/>
        <v>2012</v>
      </c>
      <c r="Q30" s="335">
        <f t="shared" si="5"/>
        <v>2015</v>
      </c>
      <c r="R30" s="127">
        <f t="shared" si="5"/>
        <v>2016</v>
      </c>
      <c r="S30" s="127">
        <f t="shared" si="5"/>
        <v>2017</v>
      </c>
      <c r="T30" s="127">
        <f t="shared" si="5"/>
        <v>2018</v>
      </c>
      <c r="U30" s="127">
        <f t="shared" si="5"/>
        <v>2019</v>
      </c>
      <c r="V30" s="127">
        <f t="shared" si="5"/>
        <v>2020</v>
      </c>
      <c r="W30" s="127">
        <f t="shared" si="5"/>
        <v>2021</v>
      </c>
      <c r="X30" s="127">
        <f t="shared" si="5"/>
        <v>2022</v>
      </c>
      <c r="Y30" s="127">
        <f t="shared" si="5"/>
        <v>2023</v>
      </c>
      <c r="Z30" s="127">
        <f t="shared" si="5"/>
        <v>2024</v>
      </c>
      <c r="AA30" s="127">
        <f t="shared" si="5"/>
        <v>2025</v>
      </c>
      <c r="AB30" s="127">
        <f t="shared" si="5"/>
        <v>2026</v>
      </c>
      <c r="AC30" s="127">
        <f t="shared" si="5"/>
        <v>2027</v>
      </c>
      <c r="AD30" s="127">
        <f t="shared" si="5"/>
        <v>2028</v>
      </c>
      <c r="AE30" s="127">
        <f t="shared" si="5"/>
        <v>2029</v>
      </c>
      <c r="AF30" s="127">
        <f t="shared" si="5"/>
        <v>2030</v>
      </c>
      <c r="AG30" s="127">
        <f t="shared" si="5"/>
        <v>2031</v>
      </c>
      <c r="AH30" s="127">
        <f t="shared" si="5"/>
        <v>2032</v>
      </c>
      <c r="AI30" s="127">
        <f t="shared" si="5"/>
        <v>2033</v>
      </c>
      <c r="AJ30" s="127">
        <f t="shared" si="5"/>
        <v>2034</v>
      </c>
      <c r="AK30" s="127">
        <f t="shared" si="5"/>
        <v>2035</v>
      </c>
      <c r="AL30" s="127">
        <f t="shared" si="5"/>
        <v>2036</v>
      </c>
      <c r="AM30" s="127">
        <f t="shared" si="5"/>
        <v>2037</v>
      </c>
      <c r="AP30" s="7">
        <f>ROW()</f>
        <v>30</v>
      </c>
    </row>
    <row r="31" spans="2:42" ht="14" customHeight="1">
      <c r="B31" t="s">
        <v>92</v>
      </c>
      <c r="H31" s="102"/>
      <c r="I31" s="128">
        <f>Energy!G22</f>
        <v>9159.2639999999992</v>
      </c>
      <c r="J31" s="128">
        <f>Energy!H22</f>
        <v>9232.6610000000001</v>
      </c>
      <c r="K31" s="128">
        <f>Energy!I22</f>
        <v>9290.3490000000002</v>
      </c>
      <c r="L31" s="128">
        <f>Energy!J22</f>
        <v>8989.2279999999992</v>
      </c>
      <c r="M31" s="128">
        <f>Energy!K22</f>
        <v>8986.1110000000008</v>
      </c>
      <c r="N31" s="128">
        <f>Energy!L22</f>
        <v>9034.3259999999991</v>
      </c>
      <c r="O31" s="128">
        <f>Energy!M22</f>
        <v>8736.1880000000001</v>
      </c>
      <c r="P31" s="128">
        <f>Energy!N22</f>
        <v>8703.0380000000005</v>
      </c>
      <c r="AN31" s="222"/>
      <c r="AP31" s="7">
        <f>ROW()</f>
        <v>31</v>
      </c>
    </row>
    <row r="32" spans="2:42" ht="14" customHeight="1">
      <c r="B32" s="91" t="s">
        <v>103</v>
      </c>
      <c r="M32" s="71"/>
      <c r="AP32" s="7">
        <f>ROW()</f>
        <v>32</v>
      </c>
    </row>
    <row r="33" spans="2:42" ht="14" customHeight="1">
      <c r="B33" t="s">
        <v>93</v>
      </c>
      <c r="I33" s="129">
        <f>I31*Parameters!$H$18</f>
        <v>3343131.36</v>
      </c>
      <c r="J33" s="129">
        <f>J31*Parameters!$H$18</f>
        <v>3369921.2650000001</v>
      </c>
      <c r="K33" s="129">
        <f>K31*Parameters!$H$18</f>
        <v>3390977.3850000002</v>
      </c>
      <c r="L33" s="129">
        <f>L31*Parameters!$H$18</f>
        <v>3281068.2199999997</v>
      </c>
      <c r="M33" s="129">
        <f>M31*Parameters!$H$18</f>
        <v>3279930.5150000001</v>
      </c>
      <c r="N33" s="129">
        <f>N31*Parameters!$H$18</f>
        <v>3297528.9899999998</v>
      </c>
      <c r="O33" s="129">
        <f>O31*Parameters!$H$18</f>
        <v>3188708.62</v>
      </c>
      <c r="P33" s="129">
        <f>P31*Parameters!$H$18</f>
        <v>3176608.87</v>
      </c>
      <c r="AP33" s="7">
        <f>ROW()</f>
        <v>33</v>
      </c>
    </row>
    <row r="34" spans="2:42" ht="14" customHeight="1">
      <c r="B34" t="s">
        <v>94</v>
      </c>
      <c r="I34" s="128">
        <f>I33*Parameters!$H$17/1000</f>
        <v>140411.51712</v>
      </c>
      <c r="J34" s="128">
        <f>J33*Parameters!$H$17/1000</f>
        <v>141536.69313</v>
      </c>
      <c r="K34" s="128">
        <f>K33*Parameters!$H$17/1000</f>
        <v>142421.05017</v>
      </c>
      <c r="L34" s="128">
        <f>L33*Parameters!$H$17/1000</f>
        <v>137804.86523999998</v>
      </c>
      <c r="M34" s="128">
        <f>M33*Parameters!$H$17/1000</f>
        <v>137757.08163</v>
      </c>
      <c r="N34" s="128">
        <f>N33*Parameters!$H$17/1000</f>
        <v>138496.21758</v>
      </c>
      <c r="O34" s="128">
        <f>O33*Parameters!$H$17/1000</f>
        <v>133925.76204</v>
      </c>
      <c r="P34" s="128">
        <f>P33*Parameters!$H$17/1000</f>
        <v>133417.57253999999</v>
      </c>
      <c r="AP34" s="7">
        <f>ROW()</f>
        <v>34</v>
      </c>
    </row>
    <row r="35" spans="2:42" ht="14" customHeight="1">
      <c r="I35" s="71"/>
      <c r="J35" s="71"/>
      <c r="K35" s="71"/>
      <c r="L35" s="71"/>
      <c r="M35" s="71"/>
      <c r="AP35" s="7">
        <f>ROW()</f>
        <v>35</v>
      </c>
    </row>
    <row r="36" spans="2:42" ht="14" customHeight="1">
      <c r="B36" s="32" t="s">
        <v>487</v>
      </c>
      <c r="J36" s="130"/>
      <c r="K36" s="346">
        <f>(1.6094/0.9311)^(1/22)-1</f>
        <v>2.5186965766781144E-2</v>
      </c>
      <c r="M36" s="193"/>
      <c r="N36" s="193"/>
      <c r="O36" s="193"/>
      <c r="P36" s="193"/>
      <c r="AP36" s="7">
        <f>ROW()</f>
        <v>36</v>
      </c>
    </row>
    <row r="37" spans="2:42" ht="14" customHeight="1">
      <c r="B37" s="885" t="s">
        <v>486</v>
      </c>
      <c r="C37" s="738"/>
      <c r="D37" s="738"/>
      <c r="E37" s="738"/>
      <c r="F37" s="738"/>
      <c r="G37" s="738"/>
      <c r="H37" s="738"/>
      <c r="I37" s="738"/>
      <c r="J37" s="738"/>
      <c r="K37" s="738"/>
      <c r="L37" s="738"/>
      <c r="M37" s="193"/>
      <c r="N37" s="193"/>
      <c r="O37" s="193"/>
      <c r="P37" s="193"/>
      <c r="Q37" s="336"/>
      <c r="R37" s="193"/>
      <c r="S37" s="193"/>
      <c r="T37" s="193"/>
      <c r="U37" s="193"/>
      <c r="V37" s="193"/>
      <c r="W37" s="181"/>
      <c r="Z37" s="180"/>
      <c r="AP37" s="7">
        <f>ROW()</f>
        <v>37</v>
      </c>
    </row>
    <row r="38" spans="2:42" ht="14" customHeight="1">
      <c r="B38" s="738"/>
      <c r="C38" s="738"/>
      <c r="D38" s="738"/>
      <c r="E38" s="738"/>
      <c r="F38" s="738"/>
      <c r="G38" s="738"/>
      <c r="H38" s="738"/>
      <c r="I38" s="738"/>
      <c r="J38" s="738"/>
      <c r="K38" s="738"/>
      <c r="L38" s="738"/>
      <c r="M38" s="193"/>
      <c r="N38" s="193"/>
      <c r="O38" s="193"/>
      <c r="P38" s="193"/>
      <c r="Q38" s="336"/>
      <c r="R38" s="193"/>
      <c r="S38" s="193"/>
      <c r="T38" s="193"/>
      <c r="U38" s="193"/>
      <c r="V38" s="193"/>
      <c r="W38" s="181"/>
      <c r="Z38" s="180"/>
      <c r="AP38" s="7">
        <f>ROW()</f>
        <v>38</v>
      </c>
    </row>
    <row r="39" spans="2:42" ht="14" customHeight="1">
      <c r="B39" s="32" t="s">
        <v>488</v>
      </c>
      <c r="K39" s="195">
        <v>1</v>
      </c>
      <c r="L39" s="183"/>
      <c r="M39" s="183"/>
      <c r="N39" s="183"/>
      <c r="O39" s="183"/>
      <c r="P39" s="183"/>
      <c r="Q39" s="337"/>
      <c r="R39" s="183"/>
      <c r="S39" s="183"/>
      <c r="T39" s="183"/>
      <c r="U39" s="183"/>
      <c r="V39" s="183"/>
      <c r="W39" s="181"/>
      <c r="Z39" s="180"/>
      <c r="AP39" s="7">
        <f>ROW()</f>
        <v>39</v>
      </c>
    </row>
    <row r="40" spans="2:42" ht="14" customHeight="1">
      <c r="B40" s="366" t="s">
        <v>188</v>
      </c>
      <c r="K40" s="7"/>
      <c r="L40" s="183"/>
      <c r="M40" s="183"/>
      <c r="N40" s="183"/>
      <c r="O40" s="183"/>
      <c r="P40" s="183"/>
      <c r="Q40" s="337"/>
      <c r="R40" s="183"/>
      <c r="S40" s="183"/>
      <c r="T40" s="183"/>
      <c r="U40" s="183"/>
      <c r="V40" s="183"/>
      <c r="W40" s="181"/>
      <c r="Z40" s="180"/>
      <c r="AP40" s="7">
        <f>ROW()</f>
        <v>40</v>
      </c>
    </row>
    <row r="41" spans="2:42" ht="14" customHeight="1">
      <c r="B41" s="32" t="s">
        <v>489</v>
      </c>
      <c r="K41" s="346">
        <f>K36*K39</f>
        <v>2.5186965766781144E-2</v>
      </c>
      <c r="L41" s="183"/>
      <c r="M41" s="183"/>
      <c r="N41" s="183"/>
      <c r="O41" s="128"/>
      <c r="P41" s="128"/>
      <c r="Q41" s="337"/>
      <c r="R41" s="183"/>
      <c r="S41" s="183"/>
      <c r="T41" s="183"/>
      <c r="U41" s="183"/>
      <c r="V41" s="183"/>
      <c r="W41" s="181"/>
      <c r="Z41" s="180"/>
      <c r="AP41" s="7">
        <f>ROW()</f>
        <v>41</v>
      </c>
    </row>
    <row r="42" spans="2:42" ht="14" customHeight="1">
      <c r="B42" s="366" t="str">
        <f>CONCATENATE("Product of Rows ",AP36, " and ",AP39, ".")</f>
        <v>Product of Rows 36 and 39.</v>
      </c>
      <c r="L42" s="91"/>
      <c r="M42" s="91"/>
      <c r="AP42" s="7">
        <f>ROW()</f>
        <v>42</v>
      </c>
    </row>
    <row r="43" spans="2:42" ht="14" customHeight="1">
      <c r="B43" t="s">
        <v>120</v>
      </c>
      <c r="I43" s="128">
        <f t="shared" ref="I43:P43" si="6">I34</f>
        <v>140411.51712</v>
      </c>
      <c r="J43" s="128">
        <f t="shared" si="6"/>
        <v>141536.69313</v>
      </c>
      <c r="K43" s="128">
        <f t="shared" si="6"/>
        <v>142421.05017</v>
      </c>
      <c r="L43" s="128">
        <f t="shared" si="6"/>
        <v>137804.86523999998</v>
      </c>
      <c r="M43" s="128">
        <f t="shared" si="6"/>
        <v>137757.08163</v>
      </c>
      <c r="N43" s="128">
        <f t="shared" si="6"/>
        <v>138496.21758</v>
      </c>
      <c r="O43" s="128">
        <f t="shared" si="6"/>
        <v>133925.76204</v>
      </c>
      <c r="P43" s="128">
        <f t="shared" si="6"/>
        <v>133417.57253999999</v>
      </c>
      <c r="Q43" s="338">
        <f>P43*(IF(R$13&gt;=2036,AEO!$L17,(IF(R$13&gt;=2026,AEO!$K17,AEO!$J17)))^Parameters!$H$7)^(Q13-P13)*(Q51/P51)^Parameters!$G$7</f>
        <v>136326.73540212787</v>
      </c>
      <c r="R43" s="128">
        <f>Q43*(IF(S$13&gt;=2036,AEO!$L17,(IF(S$13&gt;=2026,AEO!$K17,AEO!$J17)))^Parameters!$H$7)^(R13-Q13)*(R51/Q51)^Parameters!$G$7</f>
        <v>137310.48513940812</v>
      </c>
      <c r="S43" s="128">
        <f>R43*(IF(T$13&gt;=2036,AEO!$L17,(IF(T$13&gt;=2026,AEO!$K17,AEO!$J17)))^Parameters!$H$7)^(S13-R13)*(S51/R51)^Parameters!$G$7</f>
        <v>138301.33373035598</v>
      </c>
      <c r="T43" s="128">
        <f>S43*(IF(U$13&gt;=2036,AEO!$L17,(IF(U$13&gt;=2026,AEO!$K17,AEO!$J17)))^Parameters!$H$7)^(T13-S13)*(T51/S51)^Parameters!$G$7</f>
        <v>139299.3324011334</v>
      </c>
      <c r="U43" s="128">
        <f>T43*(IF(V$13&gt;=2036,AEO!$L17,(IF(V$13&gt;=2026,AEO!$K17,AEO!$J17)))^Parameters!$H$7)^(U13-T13)*(U51/T51)^Parameters!$G$7</f>
        <v>140304.53274755637</v>
      </c>
      <c r="V43" s="128">
        <f>U43*(IF(W$13&gt;=2036,AEO!$L17,(IF(W$13&gt;=2026,AEO!$K17,AEO!$J17)))^Parameters!$H$7)^(V13-U13)*(V51/U51)^Parameters!$G$7</f>
        <v>141316.98673776235</v>
      </c>
      <c r="W43" s="128">
        <f>V43*(IF(X$13&gt;=2036,AEO!$L17,(IF(X$13&gt;=2026,AEO!$K17,AEO!$J17)))^Parameters!$H$7)^(W13-V13)*(W51/V51)^Parameters!$G$7</f>
        <v>142336.74671489699</v>
      </c>
      <c r="X43" s="128">
        <f>W43*(IF(Y$13&gt;=2036,AEO!$L17,(IF(Y$13&gt;=2026,AEO!$K17,AEO!$J17)))^Parameters!$H$7)^(X13-W13)*(X51/W51)^Parameters!$G$7</f>
        <v>143363.86539982018</v>
      </c>
      <c r="Y43" s="128">
        <f>X43*(IF(Z$13&gt;=2036,AEO!$L17,(IF(Z$13&gt;=2026,AEO!$K17,AEO!$J17)))^Parameters!$H$7)^(Y13-X13)*(Y51/X51)^Parameters!$G$7</f>
        <v>144398.3958938318</v>
      </c>
      <c r="Z43" s="128">
        <f>Y43*(IF(AA$13&gt;=2036,AEO!$L17,(IF(AA$13&gt;=2026,AEO!$K17,AEO!$J17)))^Parameters!$H$7)^(Z13-Y13)*(Z51/Y51)^Parameters!$G$7</f>
        <v>145440.39168141692</v>
      </c>
      <c r="AA43" s="128">
        <f>Z43*(IF(AB$13&gt;=2036,AEO!$L17,(IF(AB$13&gt;=2026,AEO!$K17,AEO!$J17)))^Parameters!$H$7)^(AA13-Z13)*(AA51/Z51)^Parameters!$G$7</f>
        <v>146306.92872812913</v>
      </c>
      <c r="AB43" s="128">
        <f>AA43*(IF(AC$13&gt;=2036,AEO!$L17,(IF(AC$13&gt;=2026,AEO!$K17,AEO!$J17)))^Parameters!$H$7)^(AB13-AA13)*(AB51/AA51)^Parameters!$G$7</f>
        <v>147178.62862159006</v>
      </c>
      <c r="AC43" s="128">
        <f>AB43*(IF(AD$13&gt;=2036,AEO!$L17,(IF(AD$13&gt;=2026,AEO!$K17,AEO!$J17)))^Parameters!$H$7)^(AC13-AB13)*(AC51/AB51)^Parameters!$G$7</f>
        <v>148055.52212215401</v>
      </c>
      <c r="AD43" s="128">
        <f>AC43*(IF(AE$13&gt;=2036,AEO!$L17,(IF(AE$13&gt;=2026,AEO!$K17,AEO!$J17)))^Parameters!$H$7)^(AD13-AC13)*(AD51/AC51)^Parameters!$G$7</f>
        <v>148937.64017344607</v>
      </c>
      <c r="AE43" s="128">
        <f>AD43*(IF(AF$13&gt;=2036,AEO!$L17,(IF(AF$13&gt;=2026,AEO!$K17,AEO!$J17)))^Parameters!$H$7)^(AE13-AD13)*(AE51/AD51)^Parameters!$G$7</f>
        <v>149825.01390345424</v>
      </c>
      <c r="AF43" s="128">
        <f>AE43*(IF(AG$13&gt;=2036,AEO!$L17,(IF(AG$13&gt;=2026,AEO!$K17,AEO!$J17)))^Parameters!$H$7)^(AF13-AE13)*(AF51/AE51)^Parameters!$G$7</f>
        <v>150717.67462562764</v>
      </c>
      <c r="AG43" s="128">
        <f>AF43*(IF(AH$13&gt;=2036,AEO!$L17,(IF(AH$13&gt;=2026,AEO!$K17,AEO!$J17)))^Parameters!$H$7)^(AG13-AF13)*(AG51/AF51)^Parameters!$G$7</f>
        <v>151615.65383998171</v>
      </c>
      <c r="AH43" s="128">
        <f>AG43*(IF(AI$13&gt;=2036,AEO!$L17,(IF(AI$13&gt;=2026,AEO!$K17,AEO!$J17)))^Parameters!$H$7)^(AH13-AG13)*(AH51/AG51)^Parameters!$G$7</f>
        <v>152518.98323420959</v>
      </c>
      <c r="AI43" s="128">
        <f>AH43*(IF(AJ$13&gt;=2036,AEO!$L17,(IF(AJ$13&gt;=2026,AEO!$K17,AEO!$J17)))^Parameters!$H$7)^(AI13-AH13)*(AI51/AH51)^Parameters!$G$7</f>
        <v>153427.69468480046</v>
      </c>
      <c r="AJ43" s="128">
        <f>AI43*(IF(AK$13&gt;=2036,AEO!$L17,(IF(AK$13&gt;=2026,AEO!$K17,AEO!$J17)))^Parameters!$H$7)^(AJ13-AI13)*(AJ51/AI51)^Parameters!$G$7</f>
        <v>154341.82025816425</v>
      </c>
      <c r="AK43" s="128">
        <f>AJ43*(IF(AL$13&gt;=2036,AEO!$L17,(IF(AL$13&gt;=2026,AEO!$K17,AEO!$J17)))^Parameters!$H$7)^(AK13-AJ13)*(AK51/AJ51)^Parameters!$G$7</f>
        <v>155362.07413591314</v>
      </c>
      <c r="AL43" s="128">
        <f>AK43*(IF(AM$13&gt;=2036,AEO!$L17,(IF(AM$13&gt;=2026,AEO!$K17,AEO!$J17)))^Parameters!$H$7)^(AL13-AK13)*(AL51/AK51)^Parameters!$G$7</f>
        <v>156389.0722517001</v>
      </c>
      <c r="AM43" s="128">
        <f>AL43*(IF(AN$13&gt;=2036,AEO!$L17,(IF(AN$13&gt;=2026,AEO!$K17,AEO!$J17)))^Parameters!$H$7)^(AM13-AL13)*(AM51/AL51)^Parameters!$G$7</f>
        <v>157517.59416845624</v>
      </c>
      <c r="AP43" s="7">
        <f>ROW()</f>
        <v>43</v>
      </c>
    </row>
    <row r="44" spans="2:42" ht="14" customHeight="1">
      <c r="B44" s="366" t="str">
        <f>CONCATENATE("Historical figures are from Row ",AP34, ". Future figures apply income-elasticity for gasoline in Parameters page, Row ",Parameters!O7,", to assumed GDP growth rates in 'AEO' tab, Row ",AEO!P17, ".")</f>
        <v>Historical figures are from Row 34. Future figures apply income-elasticity for gasoline in Parameters page, Row 7, to assumed GDP growth rates in 'AEO' tab, Row 17.</v>
      </c>
      <c r="C44" s="193"/>
      <c r="D44" s="193"/>
      <c r="E44" s="193"/>
      <c r="F44" s="193"/>
      <c r="G44" s="193"/>
      <c r="H44" s="193"/>
      <c r="I44" s="193"/>
      <c r="J44" s="193"/>
      <c r="K44" s="193"/>
      <c r="L44" s="193"/>
      <c r="M44" s="193"/>
      <c r="AP44" s="7">
        <f>ROW()</f>
        <v>44</v>
      </c>
    </row>
    <row r="45" spans="2:42" ht="14" customHeight="1">
      <c r="B45" t="s">
        <v>111</v>
      </c>
      <c r="I45" s="26">
        <f>I43*$K$28/Parameters!$H$14</f>
        <v>1246.2197147552799</v>
      </c>
      <c r="J45" s="26">
        <f>J43*$K$28/Parameters!$H$14</f>
        <v>1256.2061927521904</v>
      </c>
      <c r="K45" s="26">
        <f>K43*$K$28/Parameters!$H$14</f>
        <v>1264.0552866209557</v>
      </c>
      <c r="L45" s="26">
        <f>L43*$K$28/Parameters!$H$14</f>
        <v>1223.0844262191999</v>
      </c>
      <c r="M45" s="139">
        <f>M43*$K$28/Parameters!$H$14</f>
        <v>1222.6603237093377</v>
      </c>
      <c r="N45" s="139">
        <f>N43*$K$28/Parameters!$H$14</f>
        <v>1229.2205105919218</v>
      </c>
      <c r="O45" s="139">
        <f>O43*$K$28/Parameters!$H$14</f>
        <v>1188.6555205099994</v>
      </c>
      <c r="P45" s="26">
        <f>P43*$K$28/Parameters!$H$14</f>
        <v>1184.1450943945235</v>
      </c>
      <c r="Q45" s="339">
        <f>Q43*$K$28/Parameters!$H$14</f>
        <v>1209.9653133237102</v>
      </c>
      <c r="R45" s="139">
        <f>R43*$K$28/Parameters!$H$14</f>
        <v>1218.6965651620922</v>
      </c>
      <c r="S45" s="139">
        <f>S43*$K$28/Parameters!$H$14</f>
        <v>1227.4908227394203</v>
      </c>
      <c r="T45" s="139">
        <f>T43*$K$28/Parameters!$H$14</f>
        <v>1236.3485407125083</v>
      </c>
      <c r="U45" s="139">
        <f>U43*$K$28/Parameters!$H$14</f>
        <v>1245.2701770190267</v>
      </c>
      <c r="V45" s="139">
        <f>V43*$K$28/Parameters!$H$14</f>
        <v>1254.2561929011786</v>
      </c>
      <c r="W45" s="139">
        <f>W43*$K$28/Parameters!$H$14</f>
        <v>1263.3070529295442</v>
      </c>
      <c r="X45" s="139">
        <f>X43*$K$28/Parameters!$H$14</f>
        <v>1272.4232250270998</v>
      </c>
      <c r="Y45" s="139">
        <f>Y43*$K$28/Parameters!$H$14</f>
        <v>1281.6051804934093</v>
      </c>
      <c r="Z45" s="139">
        <f>Z43*$K$28/Parameters!$H$14</f>
        <v>1290.8533940289897</v>
      </c>
      <c r="AA45" s="139">
        <f>AA43*$K$28/Parameters!$H$14</f>
        <v>1298.544326890684</v>
      </c>
      <c r="AB45" s="139">
        <f>AB43*$K$28/Parameters!$H$14</f>
        <v>1306.2810824992191</v>
      </c>
      <c r="AC45" s="139">
        <f>AC43*$K$28/Parameters!$H$14</f>
        <v>1314.0639338675269</v>
      </c>
      <c r="AD45" s="139">
        <f>AD43*$K$28/Parameters!$H$14</f>
        <v>1321.8931556351556</v>
      </c>
      <c r="AE45" s="139">
        <f>AE43*$K$28/Parameters!$H$14</f>
        <v>1329.769024077963</v>
      </c>
      <c r="AF45" s="139">
        <f>AF43*$K$28/Parameters!$H$14</f>
        <v>1337.6918171178631</v>
      </c>
      <c r="AG45" s="139">
        <f>AG43*$K$28/Parameters!$H$14</f>
        <v>1345.6618143326366</v>
      </c>
      <c r="AH45" s="139">
        <f>AH43*$K$28/Parameters!$H$14</f>
        <v>1353.6792969657929</v>
      </c>
      <c r="AI45" s="139">
        <f>AI43*$K$28/Parameters!$H$14</f>
        <v>1361.7445479364976</v>
      </c>
      <c r="AJ45" s="139">
        <f>AJ43*$K$28/Parameters!$H$14</f>
        <v>1369.8578518495544</v>
      </c>
      <c r="AK45" s="139">
        <f>AK43*$K$28/Parameters!$H$14</f>
        <v>1378.9130954833054</v>
      </c>
      <c r="AL45" s="139">
        <f>AL43*$K$28/Parameters!$H$14</f>
        <v>1388.0281974718155</v>
      </c>
      <c r="AM45" s="139">
        <f>AM43*$K$28/Parameters!$H$14</f>
        <v>1398.0443719996713</v>
      </c>
      <c r="AN45" s="17"/>
      <c r="AP45" s="7">
        <f>ROW()</f>
        <v>45</v>
      </c>
    </row>
    <row r="46" spans="2:42" ht="14" customHeight="1">
      <c r="B46" s="366" t="str">
        <f>CONCATENATE("Product of Row ",AP43, " and Cell K",AP28, ", with conversion factor.")</f>
        <v>Product of Row 43 and Cell K28, with conversion factor.</v>
      </c>
      <c r="I46" s="26"/>
      <c r="J46" s="26"/>
      <c r="K46" s="13">
        <f t="shared" ref="K46:AM46" si="7">K$13</f>
        <v>2007</v>
      </c>
      <c r="L46" s="13">
        <f t="shared" si="7"/>
        <v>2008</v>
      </c>
      <c r="M46" s="13">
        <f t="shared" si="7"/>
        <v>2009</v>
      </c>
      <c r="N46" s="13">
        <f t="shared" si="7"/>
        <v>2010</v>
      </c>
      <c r="O46" s="13">
        <f t="shared" si="7"/>
        <v>2011</v>
      </c>
      <c r="P46" s="283">
        <f t="shared" si="7"/>
        <v>2012</v>
      </c>
      <c r="Q46" s="13">
        <f t="shared" si="7"/>
        <v>2015</v>
      </c>
      <c r="R46" s="13">
        <f t="shared" si="7"/>
        <v>2016</v>
      </c>
      <c r="S46" s="13">
        <f t="shared" si="7"/>
        <v>2017</v>
      </c>
      <c r="T46" s="13">
        <f t="shared" si="7"/>
        <v>2018</v>
      </c>
      <c r="U46" s="13">
        <f t="shared" si="7"/>
        <v>2019</v>
      </c>
      <c r="V46" s="13">
        <f t="shared" si="7"/>
        <v>2020</v>
      </c>
      <c r="W46" s="13">
        <f t="shared" si="7"/>
        <v>2021</v>
      </c>
      <c r="X46" s="13">
        <f t="shared" si="7"/>
        <v>2022</v>
      </c>
      <c r="Y46" s="13">
        <f t="shared" si="7"/>
        <v>2023</v>
      </c>
      <c r="Z46" s="13">
        <f t="shared" si="7"/>
        <v>2024</v>
      </c>
      <c r="AA46" s="13">
        <f t="shared" si="7"/>
        <v>2025</v>
      </c>
      <c r="AB46" s="13">
        <f t="shared" si="7"/>
        <v>2026</v>
      </c>
      <c r="AC46" s="13">
        <f t="shared" si="7"/>
        <v>2027</v>
      </c>
      <c r="AD46" s="13">
        <f t="shared" si="7"/>
        <v>2028</v>
      </c>
      <c r="AE46" s="13">
        <f t="shared" si="7"/>
        <v>2029</v>
      </c>
      <c r="AF46" s="13">
        <f t="shared" si="7"/>
        <v>2030</v>
      </c>
      <c r="AG46" s="13">
        <f t="shared" si="7"/>
        <v>2031</v>
      </c>
      <c r="AH46" s="13">
        <f t="shared" si="7"/>
        <v>2032</v>
      </c>
      <c r="AI46" s="13">
        <f t="shared" si="7"/>
        <v>2033</v>
      </c>
      <c r="AJ46" s="13">
        <f t="shared" si="7"/>
        <v>2034</v>
      </c>
      <c r="AK46" s="13">
        <f t="shared" si="7"/>
        <v>2035</v>
      </c>
      <c r="AL46" s="13">
        <f t="shared" si="7"/>
        <v>2036</v>
      </c>
      <c r="AM46" s="13">
        <f t="shared" si="7"/>
        <v>2037</v>
      </c>
      <c r="AN46" s="17"/>
      <c r="AP46" s="7">
        <f>ROW()</f>
        <v>46</v>
      </c>
    </row>
    <row r="47" spans="2:42" ht="14" customHeight="1">
      <c r="B47" s="56" t="s">
        <v>490</v>
      </c>
      <c r="G47" s="196">
        <v>10</v>
      </c>
      <c r="H47" s="85" t="s">
        <v>26</v>
      </c>
      <c r="J47" s="347">
        <v>0.01</v>
      </c>
      <c r="M47" s="71"/>
      <c r="AP47" s="7">
        <f>ROW()</f>
        <v>47</v>
      </c>
    </row>
    <row r="48" spans="2:42" ht="14" customHeight="1">
      <c r="B48" s="91" t="s">
        <v>491</v>
      </c>
      <c r="I48" s="4"/>
      <c r="J48" s="4"/>
      <c r="AP48" s="7">
        <f>ROW()</f>
        <v>48</v>
      </c>
    </row>
    <row r="49" spans="2:42" ht="14" customHeight="1">
      <c r="B49" s="32" t="s">
        <v>479</v>
      </c>
      <c r="H49" s="30"/>
      <c r="I49" s="30"/>
      <c r="J49" s="30"/>
      <c r="K49" s="328">
        <v>2.8490000000000002</v>
      </c>
      <c r="L49" s="328">
        <v>3.3170000000000002</v>
      </c>
      <c r="M49" s="328">
        <v>2.4009999999999998</v>
      </c>
      <c r="N49" s="328">
        <v>2.8359999999999999</v>
      </c>
      <c r="O49" s="328">
        <v>3.577</v>
      </c>
      <c r="P49" s="328">
        <v>3.6949999999999998</v>
      </c>
      <c r="Q49" s="333">
        <f>$P$49*((1+$K$41)*(AEO!$N$18))^(Q13-$P$13)</f>
        <v>4.1940711776088166</v>
      </c>
      <c r="R49" s="329">
        <f>$P$49*((1+$K$41)*(AEO!$N$18))^(R13-$P$13)</f>
        <v>4.3749817718799928</v>
      </c>
      <c r="S49" s="329">
        <f>$P$49*((1+$K$41)*(AEO!$N$18))^(S13-$P$13)</f>
        <v>4.5636959159083297</v>
      </c>
      <c r="T49" s="329">
        <f>$P$49*((1+$K$41)*(AEO!$N$18))^(T13-$P$13)</f>
        <v>4.760550214573481</v>
      </c>
      <c r="U49" s="329">
        <f>$P$49*((1+$K$41)*(AEO!$N$18))^(U13-$P$13)</f>
        <v>4.9658957921531339</v>
      </c>
      <c r="V49" s="329">
        <f>$P$49*((1+$K$41)*(AEO!$N$18))^(V13-$P$13)</f>
        <v>5.1800989186149398</v>
      </c>
      <c r="W49" s="329">
        <f>$P$49*((1+$K$41)*(AEO!$N$18))^(W13-$P$13)</f>
        <v>5.4035416629234394</v>
      </c>
      <c r="X49" s="329">
        <f>$P$49*((1+$K$41)*(AEO!$N$18))^(X13-$P$13)</f>
        <v>5.6366225745272995</v>
      </c>
      <c r="Y49" s="329">
        <f>$P$49*((1+$K$41)*(AEO!$N$18))^(Y13-$P$13)</f>
        <v>5.8797573942423602</v>
      </c>
      <c r="Z49" s="329">
        <f>$P$49*((1+$K$41)*(AEO!$N$18))^(Z13-$P$13)</f>
        <v>6.1333797957985441</v>
      </c>
      <c r="AA49" s="329">
        <f>$P$49*((1+$K$41)*(AEO!$N$18))^(AA13-$P$13)</f>
        <v>6.3979421593732484</v>
      </c>
      <c r="AB49" s="329">
        <f>$P$49*((1+$K$41)*(AEO!$N$18))^(AB13-$P$13)</f>
        <v>6.6739163784909907</v>
      </c>
      <c r="AC49" s="329">
        <f>$P$49*((1+$K$41)*(AEO!$N$18))^(AC13-$P$13)</f>
        <v>6.9617947017285324</v>
      </c>
      <c r="AD49" s="329">
        <f>$P$49*((1+$K$41)*(AEO!$N$18))^(AD13-$P$13)</f>
        <v>7.2620906107268377</v>
      </c>
      <c r="AE49" s="329">
        <f>$P$49*((1+$K$41)*(AEO!$N$18))^(AE13-$P$13)</f>
        <v>7.5753397360759083</v>
      </c>
      <c r="AF49" s="329">
        <f>$P$49*((1+$K$41)*(AEO!$N$18))^(AF13-$P$13)</f>
        <v>7.9021008127062027</v>
      </c>
      <c r="AG49" s="329">
        <f>$P$49*((1+$K$41)*(AEO!$N$18))^(AG13-$P$13)</f>
        <v>8.2429566764906745</v>
      </c>
      <c r="AH49" s="329">
        <f>$P$49*((1+$K$41)*(AEO!$N$18))^(AH13-$P$13)</f>
        <v>8.5985153038351179</v>
      </c>
      <c r="AI49" s="329">
        <f>$P$49*((1+$K$41)*(AEO!$N$18))^(AI13-$P$13)</f>
        <v>8.9694108961110413</v>
      </c>
      <c r="AJ49" s="329">
        <f>$P$49*((1+$K$41)*(AEO!$N$18))^(AJ13-$P$13)</f>
        <v>9.356305010865416</v>
      </c>
      <c r="AK49" s="329">
        <f>$P$49*((1+$K$41)*(AEO!$N$18))^(AK13-$P$13)</f>
        <v>9.759887741824949</v>
      </c>
      <c r="AL49" s="329">
        <f>$P$49*((1+$K$41)*(AEO!$N$18))^(AL13-$P$13)</f>
        <v>10.180878949799675</v>
      </c>
      <c r="AM49" s="329">
        <f>$P$49*((1+$K$41)*(AEO!$N$18))^(AM13-$P$13)</f>
        <v>10.620029546681351</v>
      </c>
      <c r="AP49" s="7">
        <f>ROW()</f>
        <v>49</v>
      </c>
    </row>
    <row r="50" spans="2:42" ht="14" customHeight="1">
      <c r="B50" s="366" t="str">
        <f>CONCATENATE("Historical values use source given in Row ",AP37, ". Future values escalate and inflate year-2012 value by annual real increase rate in Cell K",AP41, " and annual economy-wide price (inflation) index in 'AEO' tab, Cell M",AEO!P18, ".")</f>
        <v>Historical values use source given in Row 37. Future values escalate and inflate year-2012 value by annual real increase rate in Cell K41 and annual economy-wide price (inflation) index in 'AEO' tab, Cell M18.</v>
      </c>
      <c r="AP50" s="7">
        <f>ROW()</f>
        <v>50</v>
      </c>
    </row>
    <row r="51" spans="2:42" ht="14" customHeight="1">
      <c r="B51" s="32" t="s">
        <v>516</v>
      </c>
      <c r="K51" s="329">
        <f>K49/(AEO!$N$18)^(K13-$P$13)</f>
        <v>3.1072723899169095</v>
      </c>
      <c r="L51" s="329">
        <f>L49/(AEO!$N$18)^(L13-$P$13)</f>
        <v>3.5554532535402021</v>
      </c>
      <c r="M51" s="329">
        <f>M49/(AEO!$N$18)^(M13-$P$13)</f>
        <v>2.529322958830031</v>
      </c>
      <c r="N51" s="329">
        <f>N49/(AEO!$N$18)^(N13-$P$13)</f>
        <v>2.9361685143216252</v>
      </c>
      <c r="O51" s="329">
        <f>O49/(AEO!$N$18)^(O13-$P$13)</f>
        <v>3.6396222851104278</v>
      </c>
      <c r="P51" s="329">
        <f>P49/(AEO!$N$18)^(P13-$P$13)</f>
        <v>3.6949999999999998</v>
      </c>
      <c r="Q51" s="333">
        <f>Q49/(AEO!$N$18)^(Q13-$P$13)</f>
        <v>3.9812886931990494</v>
      </c>
      <c r="R51" s="329">
        <f>R49/(AEO!$N$18)^(R13-$P$13)</f>
        <v>4.0815652752223279</v>
      </c>
      <c r="S51" s="329">
        <f>S49/(AEO!$N$18)^(S13-$P$13)</f>
        <v>4.1843675200842352</v>
      </c>
      <c r="T51" s="329">
        <f>T49/(AEO!$N$18)^(T13-$P$13)</f>
        <v>4.2897590415682272</v>
      </c>
      <c r="U51" s="329">
        <f>U49/(AEO!$N$18)^(U13-$P$13)</f>
        <v>4.3978050556959465</v>
      </c>
      <c r="V51" s="329">
        <f>V49/(AEO!$N$18)^(V13-$P$13)</f>
        <v>4.5085724210827385</v>
      </c>
      <c r="W51" s="329">
        <f>W49/(AEO!$N$18)^(W13-$P$13)</f>
        <v>4.6221296803096017</v>
      </c>
      <c r="X51" s="329">
        <f>X49/(AEO!$N$18)^(X13-$P$13)</f>
        <v>4.7385471023371846</v>
      </c>
      <c r="Y51" s="329">
        <f>Y49/(AEO!$N$18)^(Y13-$P$13)</f>
        <v>4.8578967259880308</v>
      </c>
      <c r="Z51" s="329">
        <f>Z49/(AEO!$N$18)^(Z13-$P$13)</f>
        <v>4.980252404524049</v>
      </c>
      <c r="AA51" s="329">
        <f>AA49/(AEO!$N$18)^(AA13-$P$13)</f>
        <v>5.1056898513467255</v>
      </c>
      <c r="AB51" s="329">
        <f>AB49/(AEO!$N$18)^(AB13-$P$13)</f>
        <v>5.2342866868483986</v>
      </c>
      <c r="AC51" s="329">
        <f>AC49/(AEO!$N$18)^(AC13-$P$13)</f>
        <v>5.3661224864435662</v>
      </c>
      <c r="AD51" s="329">
        <f>AD49/(AEO!$N$18)^(AD13-$P$13)</f>
        <v>5.5012788298099764</v>
      </c>
      <c r="AE51" s="329">
        <f>AE49/(AEO!$N$18)^(AE13-$P$13)</f>
        <v>5.6398393513699174</v>
      </c>
      <c r="AF51" s="329">
        <f>AF49/(AEO!$N$18)^(AF13-$P$13)</f>
        <v>5.7818897920430175</v>
      </c>
      <c r="AG51" s="329">
        <f>AG49/(AEO!$N$18)^(AG13-$P$13)</f>
        <v>5.9275180523025064</v>
      </c>
      <c r="AH51" s="329">
        <f>AH49/(AEO!$N$18)^(AH13-$P$13)</f>
        <v>6.0768142465678281</v>
      </c>
      <c r="AI51" s="329">
        <f>AI49/(AEO!$N$18)^(AI13-$P$13)</f>
        <v>6.2298707589672198</v>
      </c>
      <c r="AJ51" s="329">
        <f>AJ49/(AEO!$N$18)^(AJ13-$P$13)</f>
        <v>6.3867823005047981</v>
      </c>
      <c r="AK51" s="329">
        <f>AK49/(AEO!$N$18)^(AK13-$P$13)</f>
        <v>6.5476459676674947</v>
      </c>
      <c r="AL51" s="329">
        <f>AL49/(AEO!$N$18)^(AL13-$P$13)</f>
        <v>6.7125613025081412</v>
      </c>
      <c r="AM51" s="329">
        <f>AM49/(AEO!$N$18)^(AM13-$P$13)</f>
        <v>6.8816303542418318</v>
      </c>
      <c r="AP51" s="7">
        <f>ROW()</f>
        <v>51</v>
      </c>
    </row>
    <row r="52" spans="2:42" ht="14" customHeight="1">
      <c r="B52" s="888" t="s">
        <v>615</v>
      </c>
      <c r="C52" s="735"/>
      <c r="D52" s="735"/>
      <c r="E52" s="735"/>
      <c r="F52" s="735"/>
      <c r="G52" s="735"/>
      <c r="H52" s="735"/>
      <c r="I52" s="735"/>
      <c r="J52" s="735"/>
      <c r="K52" s="735"/>
      <c r="L52" s="735"/>
      <c r="M52" s="735"/>
      <c r="N52" s="735"/>
      <c r="O52" s="735"/>
      <c r="P52" s="736"/>
      <c r="Q52" s="333"/>
      <c r="R52" s="329"/>
      <c r="S52" s="329"/>
      <c r="T52" s="329"/>
      <c r="U52" s="329"/>
      <c r="V52" s="329"/>
      <c r="W52" s="329"/>
      <c r="X52" s="329"/>
      <c r="Y52" s="329"/>
      <c r="Z52" s="329"/>
      <c r="AA52" s="329"/>
      <c r="AB52" s="329"/>
      <c r="AC52" s="329"/>
      <c r="AD52" s="329"/>
      <c r="AE52" s="329"/>
      <c r="AF52" s="329"/>
      <c r="AG52" s="329"/>
      <c r="AH52" s="329"/>
      <c r="AI52" s="329"/>
      <c r="AJ52" s="329"/>
      <c r="AK52" s="329"/>
      <c r="AL52" s="329"/>
      <c r="AM52" s="329"/>
      <c r="AP52" s="7">
        <f>ROW()</f>
        <v>52</v>
      </c>
    </row>
    <row r="53" spans="2:42" ht="14" customHeight="1">
      <c r="B53" s="737"/>
      <c r="C53" s="787"/>
      <c r="D53" s="787"/>
      <c r="E53" s="787"/>
      <c r="F53" s="787"/>
      <c r="G53" s="787"/>
      <c r="H53" s="787"/>
      <c r="I53" s="787"/>
      <c r="J53" s="787"/>
      <c r="K53" s="787"/>
      <c r="L53" s="787"/>
      <c r="M53" s="787"/>
      <c r="N53" s="787"/>
      <c r="O53" s="787"/>
      <c r="P53" s="739"/>
      <c r="Q53" s="333"/>
      <c r="R53" s="329"/>
      <c r="S53" s="329"/>
      <c r="T53" s="329"/>
      <c r="U53" s="329"/>
      <c r="V53" s="329"/>
      <c r="W53" s="329"/>
      <c r="X53" s="329"/>
      <c r="Y53" s="329"/>
      <c r="Z53" s="329"/>
      <c r="AA53" s="329"/>
      <c r="AB53" s="329"/>
      <c r="AC53" s="329"/>
      <c r="AD53" s="329"/>
      <c r="AE53" s="329"/>
      <c r="AF53" s="329"/>
      <c r="AG53" s="329"/>
      <c r="AH53" s="329"/>
      <c r="AI53" s="329"/>
      <c r="AJ53" s="329"/>
      <c r="AK53" s="329"/>
      <c r="AL53" s="329"/>
      <c r="AM53" s="329"/>
      <c r="AP53" s="7">
        <f>ROW()</f>
        <v>53</v>
      </c>
    </row>
    <row r="54" spans="2:42" ht="14" customHeight="1">
      <c r="B54" s="777"/>
      <c r="C54" s="788"/>
      <c r="D54" s="788"/>
      <c r="E54" s="788"/>
      <c r="F54" s="788"/>
      <c r="G54" s="788"/>
      <c r="H54" s="788"/>
      <c r="I54" s="788"/>
      <c r="J54" s="788"/>
      <c r="K54" s="788"/>
      <c r="L54" s="788"/>
      <c r="M54" s="788"/>
      <c r="N54" s="788"/>
      <c r="O54" s="788"/>
      <c r="P54" s="778"/>
      <c r="Q54" s="333"/>
      <c r="R54" s="329"/>
      <c r="S54" s="329"/>
      <c r="T54" s="329"/>
      <c r="U54" s="329"/>
      <c r="V54" s="329"/>
      <c r="W54" s="329"/>
      <c r="X54" s="329"/>
      <c r="Y54" s="329"/>
      <c r="Z54" s="329"/>
      <c r="AA54" s="329"/>
      <c r="AB54" s="329"/>
      <c r="AC54" s="329"/>
      <c r="AD54" s="329"/>
      <c r="AE54" s="329"/>
      <c r="AF54" s="329"/>
      <c r="AG54" s="329"/>
      <c r="AH54" s="329"/>
      <c r="AI54" s="329"/>
      <c r="AJ54" s="329"/>
      <c r="AK54" s="329"/>
      <c r="AL54" s="329"/>
      <c r="AM54" s="329"/>
      <c r="AP54" s="7">
        <f>ROW()</f>
        <v>54</v>
      </c>
    </row>
    <row r="55" spans="2:42" ht="14" customHeight="1">
      <c r="B55" s="32" t="s">
        <v>303</v>
      </c>
      <c r="K55" s="328">
        <f t="shared" ref="K55:AM55" si="8">K49+K21</f>
        <v>2.8490000000000002</v>
      </c>
      <c r="L55" s="328">
        <f t="shared" si="8"/>
        <v>3.3170000000000002</v>
      </c>
      <c r="M55" s="328">
        <f t="shared" si="8"/>
        <v>2.4009999999999998</v>
      </c>
      <c r="N55" s="328">
        <f t="shared" si="8"/>
        <v>2.8359999999999999</v>
      </c>
      <c r="O55" s="328">
        <f t="shared" si="8"/>
        <v>3.577</v>
      </c>
      <c r="P55" s="328">
        <f t="shared" si="8"/>
        <v>3.6949999999999998</v>
      </c>
      <c r="Q55" s="333">
        <f t="shared" si="8"/>
        <v>5.1441339289712289</v>
      </c>
      <c r="R55" s="328">
        <f t="shared" si="8"/>
        <v>5.3406277120675609</v>
      </c>
      <c r="S55" s="328">
        <f t="shared" si="8"/>
        <v>5.5451805790609745</v>
      </c>
      <c r="T55" s="328">
        <f t="shared" si="8"/>
        <v>5.7581333240968213</v>
      </c>
      <c r="U55" s="328">
        <f t="shared" si="8"/>
        <v>5.9798413293827153</v>
      </c>
      <c r="V55" s="328">
        <f t="shared" si="8"/>
        <v>6.2106751926056702</v>
      </c>
      <c r="W55" s="328">
        <f t="shared" si="8"/>
        <v>6.4510213813826756</v>
      </c>
      <c r="X55" s="328">
        <f t="shared" si="8"/>
        <v>6.7012829159103129</v>
      </c>
      <c r="Y55" s="328">
        <f t="shared" si="8"/>
        <v>6.9618800810292267</v>
      </c>
      <c r="Z55" s="328">
        <f t="shared" si="8"/>
        <v>7.233251168971826</v>
      </c>
      <c r="AA55" s="328">
        <f t="shared" si="8"/>
        <v>7.5158532541161271</v>
      </c>
      <c r="AB55" s="328">
        <f t="shared" si="8"/>
        <v>7.8101630011258525</v>
      </c>
      <c r="AC55" s="328">
        <f t="shared" si="8"/>
        <v>8.116677507916334</v>
      </c>
      <c r="AD55" s="328">
        <f t="shared" si="8"/>
        <v>8.4359151849478984</v>
      </c>
      <c r="AE55" s="328">
        <f t="shared" si="8"/>
        <v>8.7684166724131352</v>
      </c>
      <c r="AF55" s="328">
        <f t="shared" si="8"/>
        <v>9.1147457969520751</v>
      </c>
      <c r="AG55" s="328">
        <f t="shared" si="8"/>
        <v>9.4754905695996836</v>
      </c>
      <c r="AH55" s="328">
        <f t="shared" si="8"/>
        <v>9.8512642267437052</v>
      </c>
      <c r="AI55" s="328">
        <f t="shared" si="8"/>
        <v>10.24270631594743</v>
      </c>
      <c r="AJ55" s="328">
        <f t="shared" si="8"/>
        <v>10.650483828572122</v>
      </c>
      <c r="AK55" s="328">
        <f t="shared" si="8"/>
        <v>11.075292381217107</v>
      </c>
      <c r="AL55" s="328">
        <f t="shared" si="8"/>
        <v>11.517857448082696</v>
      </c>
      <c r="AM55" s="328">
        <f t="shared" si="8"/>
        <v>11.978935646451838</v>
      </c>
      <c r="AP55" s="7">
        <f>ROW()</f>
        <v>55</v>
      </c>
    </row>
    <row r="56" spans="2:42" ht="14" customHeight="1">
      <c r="B56" s="366" t="str">
        <f>CONCATENATE("Sum of Rows ",AP49, " and ",AP21, ".")</f>
        <v>Sum of Rows 49 and 21.</v>
      </c>
      <c r="H56" s="366"/>
      <c r="K56" s="328"/>
      <c r="L56" s="328"/>
      <c r="M56" s="328"/>
      <c r="N56" s="328"/>
      <c r="O56" s="328"/>
      <c r="P56" s="328"/>
      <c r="Q56" s="333"/>
      <c r="R56" s="328"/>
      <c r="S56" s="328"/>
      <c r="T56" s="328"/>
      <c r="U56" s="328"/>
      <c r="V56" s="328"/>
      <c r="W56" s="328"/>
      <c r="X56" s="328"/>
      <c r="Y56" s="328"/>
      <c r="Z56" s="328"/>
      <c r="AA56" s="328"/>
      <c r="AB56" s="328"/>
      <c r="AC56" s="328"/>
      <c r="AD56" s="328"/>
      <c r="AE56" s="328"/>
      <c r="AF56" s="328"/>
      <c r="AG56" s="328"/>
      <c r="AH56" s="328"/>
      <c r="AI56" s="328"/>
      <c r="AJ56" s="328"/>
      <c r="AK56" s="328"/>
      <c r="AL56" s="328"/>
      <c r="AM56" s="328"/>
      <c r="AP56" s="7">
        <f>ROW()</f>
        <v>56</v>
      </c>
    </row>
    <row r="57" spans="2:42" ht="14" customHeight="1">
      <c r="B57" s="32" t="s">
        <v>515</v>
      </c>
      <c r="K57" s="329">
        <f>K55/(AEO!$N$18)^(K13-$P$13)</f>
        <v>3.1072723899169095</v>
      </c>
      <c r="L57" s="329">
        <f>L55/(AEO!$N$18)^(L13-$P$13)</f>
        <v>3.5554532535402021</v>
      </c>
      <c r="M57" s="329">
        <f>M55/(AEO!$N$18)^(M13-$P$13)</f>
        <v>2.529322958830031</v>
      </c>
      <c r="N57" s="329">
        <f>N55/(AEO!$N$18)^(N13-$P$13)</f>
        <v>2.9361685143216252</v>
      </c>
      <c r="O57" s="329">
        <f>O55/(AEO!$N$18)^(O13-$P$13)</f>
        <v>3.6396222851104278</v>
      </c>
      <c r="P57" s="329">
        <f>P55/(AEO!$N$18)^(P13-$P$13)</f>
        <v>3.6949999999999998</v>
      </c>
      <c r="Q57" s="333">
        <f>Q55/(AEO!$N$18)^(Q13-$P$13)</f>
        <v>4.8831508528167769</v>
      </c>
      <c r="R57" s="328">
        <f>R55/(AEO!$N$18)^(R13-$P$13)</f>
        <v>4.9824483287156776</v>
      </c>
      <c r="S57" s="328">
        <f>S55/(AEO!$N$18)^(S13-$P$13)</f>
        <v>5.0842724702893438</v>
      </c>
      <c r="T57" s="328">
        <f>T55/(AEO!$N$18)^(T13-$P$13)</f>
        <v>5.1886868904317875</v>
      </c>
      <c r="U57" s="328">
        <f>U55/(AEO!$N$18)^(U13-$P$13)</f>
        <v>5.2957568042756691</v>
      </c>
      <c r="V57" s="328">
        <f>V55/(AEO!$N$18)^(V13-$P$13)</f>
        <v>5.4055490695478188</v>
      </c>
      <c r="W57" s="328">
        <f>W55/(AEO!$N$18)^(W13-$P$13)</f>
        <v>5.5181322279411811</v>
      </c>
      <c r="X57" s="328">
        <f>X55/(AEO!$N$18)^(X13-$P$13)</f>
        <v>5.6335765475288158</v>
      </c>
      <c r="Y57" s="328">
        <f>Y55/(AEO!$N$18)^(Y13-$P$13)</f>
        <v>5.7519540662461424</v>
      </c>
      <c r="Z57" s="328">
        <f>Z55/(AEO!$N$18)^(Z13-$P$13)</f>
        <v>5.8733386364684108</v>
      </c>
      <c r="AA57" s="328">
        <f>AA55/(AEO!$N$18)^(AA13-$P$13)</f>
        <v>5.9978059707109175</v>
      </c>
      <c r="AB57" s="328">
        <f>AB55/(AEO!$N$18)^(AB13-$P$13)</f>
        <v>6.1254336884802747</v>
      </c>
      <c r="AC57" s="328">
        <f>AC55/(AEO!$N$18)^(AC13-$P$13)</f>
        <v>6.256301364305723</v>
      </c>
      <c r="AD57" s="328">
        <f>AD55/(AEO!$N$18)^(AD13-$P$13)</f>
        <v>6.3904905769802198</v>
      </c>
      <c r="AE57" s="328">
        <f>AE55/(AEO!$N$18)^(AE13-$P$13)</f>
        <v>6.5280849600417357</v>
      </c>
      <c r="AF57" s="328">
        <f>AF55/(AEO!$N$18)^(AF13-$P$13)</f>
        <v>6.6691702535260466</v>
      </c>
      <c r="AG57" s="328">
        <f>AG55/(AEO!$N$18)^(AG13-$P$13)</f>
        <v>6.8138343570230004</v>
      </c>
      <c r="AH57" s="328">
        <f>AH55/(AEO!$N$18)^(AH13-$P$13)</f>
        <v>6.9621673840691329</v>
      </c>
      <c r="AI57" s="328">
        <f>AI55/(AEO!$N$18)^(AI13-$P$13)</f>
        <v>7.1142617179102388</v>
      </c>
      <c r="AJ57" s="328">
        <f>AJ55/(AEO!$N$18)^(AJ13-$P$13)</f>
        <v>7.2702120686684673</v>
      </c>
      <c r="AK57" s="328">
        <f>AK55/(AEO!$N$18)^(AK13-$P$13)</f>
        <v>7.4301155319492578</v>
      </c>
      <c r="AL57" s="328">
        <f>AL55/(AEO!$N$18)^(AL13-$P$13)</f>
        <v>7.5940716489244133</v>
      </c>
      <c r="AM57" s="328">
        <f>AM55/(AEO!$N$18)^(AM13-$P$13)</f>
        <v>7.7621824679284837</v>
      </c>
      <c r="AP57" s="7">
        <f>ROW()</f>
        <v>57</v>
      </c>
    </row>
    <row r="58" spans="2:42" ht="14" customHeight="1">
      <c r="B58" s="366" t="str">
        <f>CONCATENATE("Row ",AP55, ", deflated by economy-wide price index in 'AEO' tab.")</f>
        <v>Row 55, deflated by economy-wide price index in 'AEO' tab.</v>
      </c>
      <c r="M58"/>
      <c r="AP58" s="7">
        <f>ROW()</f>
        <v>58</v>
      </c>
    </row>
    <row r="59" spans="2:42" ht="14" customHeight="1">
      <c r="B59" s="32" t="s">
        <v>590</v>
      </c>
      <c r="K59" s="15"/>
      <c r="L59" s="91" t="str">
        <f>CONCATENATE("Calculated as excess of Row ",AP57, " over Row ",AP51, ".")</f>
        <v>Calculated as excess of Row 57 over Row 51.</v>
      </c>
      <c r="M59" s="71"/>
      <c r="Q59" s="343">
        <f t="shared" ref="Q59:AM59" si="9">Q57/Q51-1</f>
        <v>0.22652518546527767</v>
      </c>
      <c r="R59" s="222">
        <f t="shared" si="9"/>
        <v>0.2207199916567002</v>
      </c>
      <c r="S59" s="222">
        <f t="shared" si="9"/>
        <v>0.21506355402237531</v>
      </c>
      <c r="T59" s="222">
        <f t="shared" si="9"/>
        <v>0.20955206111878377</v>
      </c>
      <c r="U59" s="222">
        <f t="shared" si="9"/>
        <v>0.20418179914926293</v>
      </c>
      <c r="V59" s="222">
        <f t="shared" si="9"/>
        <v>0.19894914946262987</v>
      </c>
      <c r="W59" s="222">
        <f t="shared" si="9"/>
        <v>0.19385058611587103</v>
      </c>
      <c r="X59" s="222">
        <f t="shared" si="9"/>
        <v>0.18888267349926258</v>
      </c>
      <c r="Y59" s="222">
        <f t="shared" si="9"/>
        <v>0.18404206402232082</v>
      </c>
      <c r="Z59" s="222">
        <f t="shared" si="9"/>
        <v>0.17932549585902202</v>
      </c>
      <c r="AA59" s="222">
        <f t="shared" si="9"/>
        <v>0.17472979075077943</v>
      </c>
      <c r="AB59" s="222">
        <f t="shared" si="9"/>
        <v>0.17025185186569169</v>
      </c>
      <c r="AC59" s="222">
        <f t="shared" si="9"/>
        <v>0.16588866171262695</v>
      </c>
      <c r="AD59" s="222">
        <f t="shared" si="9"/>
        <v>0.16163728010873402</v>
      </c>
      <c r="AE59" s="222">
        <f t="shared" si="9"/>
        <v>0.1574948421990181</v>
      </c>
      <c r="AF59" s="222">
        <f t="shared" si="9"/>
        <v>0.15345855652663887</v>
      </c>
      <c r="AG59" s="222">
        <f t="shared" si="9"/>
        <v>0.14952570315263913</v>
      </c>
      <c r="AH59" s="222">
        <f t="shared" si="9"/>
        <v>0.14569363182383777</v>
      </c>
      <c r="AI59" s="222">
        <f t="shared" si="9"/>
        <v>0.14195976018764678</v>
      </c>
      <c r="AJ59" s="222">
        <f t="shared" si="9"/>
        <v>0.13832157205261941</v>
      </c>
      <c r="AK59" s="222">
        <f t="shared" si="9"/>
        <v>0.13477661569355281</v>
      </c>
      <c r="AL59" s="222">
        <f t="shared" si="9"/>
        <v>0.13132250220000175</v>
      </c>
      <c r="AM59" s="222">
        <f t="shared" si="9"/>
        <v>0.12795690386710179</v>
      </c>
      <c r="AP59" s="7">
        <f>ROW()</f>
        <v>59</v>
      </c>
    </row>
    <row r="60" spans="2:42" ht="14" customHeight="1">
      <c r="B60" t="s">
        <v>121</v>
      </c>
      <c r="K60" s="20">
        <f>K28</f>
        <v>19.570435014151581</v>
      </c>
      <c r="L60" s="6">
        <f>$K$60*(1-$J$47)^(L17/$G$47)</f>
        <v>19.570435014151581</v>
      </c>
      <c r="M60" s="6">
        <f>$K$60*(1-$J$47)^(M17/$G$47)</f>
        <v>19.570435014151581</v>
      </c>
      <c r="N60" s="6">
        <f>$K$60*(1-$J$47)^(N17/$G$47)</f>
        <v>19.570435014151581</v>
      </c>
      <c r="O60" s="6">
        <f>$K$60*(1-$J$47)^(O17/$G$47)</f>
        <v>19.570435014151581</v>
      </c>
      <c r="P60" s="6">
        <f>$K$60*(1-$J$47)^(P17/$G$47)</f>
        <v>19.570435014151581</v>
      </c>
      <c r="Q60" s="367">
        <f>$K$60*(1-$J$47)^(Summary!Q98/$G$47)</f>
        <v>18.596324031676325</v>
      </c>
      <c r="R60" s="368">
        <f>$K$60*(1-$J$47)^(Summary!R98/$G$47)</f>
        <v>18.597410232863101</v>
      </c>
      <c r="S60" s="368">
        <f>$K$60*(1-$J$47)^(Summary!S98/$G$47)</f>
        <v>18.598495254779948</v>
      </c>
      <c r="T60" s="368">
        <f>$K$60*(1-$J$47)^(Summary!T98/$G$47)</f>
        <v>18.599579098634798</v>
      </c>
      <c r="U60" s="368">
        <f>$K$60*(1-$J$47)^(Summary!U98/$G$47)</f>
        <v>18.600661765634516</v>
      </c>
      <c r="V60" s="368">
        <f>$K$60*(1-$J$47)^(Summary!V98/$G$47)</f>
        <v>18.601743256984889</v>
      </c>
      <c r="W60" s="368">
        <f>$K$60*(1-$J$47)^(Summary!W98/$G$47)</f>
        <v>18.602823573890642</v>
      </c>
      <c r="X60" s="368">
        <f>$K$60*(1-$J$47)^(Summary!X98/$G$47)</f>
        <v>18.603902717555428</v>
      </c>
      <c r="Y60" s="368">
        <f>$K$60*(1-$J$47)^(Summary!Y98/$G$47)</f>
        <v>18.604980689181822</v>
      </c>
      <c r="Z60" s="368">
        <f>$K$60*(1-$J$47)^(Summary!Z98/$G$47)</f>
        <v>18.606057489971342</v>
      </c>
      <c r="AA60" s="368">
        <f>$K$60*(1-$J$47)^(Summary!AA98/$G$47)</f>
        <v>18.607133121124434</v>
      </c>
      <c r="AB60" s="368">
        <f>$K$60*(1-$J$47)^(Summary!AB98/$G$47)</f>
        <v>18.608207583840475</v>
      </c>
      <c r="AC60" s="368">
        <f>$K$60*(1-$J$47)^(Summary!AC98/$G$47)</f>
        <v>18.609280879317776</v>
      </c>
      <c r="AD60" s="368">
        <f>$K$60*(1-$J$47)^(Summary!AD98/$G$47)</f>
        <v>18.610353008753577</v>
      </c>
      <c r="AE60" s="368">
        <f>$K$60*(1-$J$47)^(Summary!AE98/$G$47)</f>
        <v>18.611423973344056</v>
      </c>
      <c r="AF60" s="368">
        <f>$K$60*(1-$J$47)^(Summary!AF98/$G$47)</f>
        <v>18.612493774284335</v>
      </c>
      <c r="AG60" s="368">
        <f>$K$60*(1-$J$47)^(Summary!AG98/$G$47)</f>
        <v>18.613562412768449</v>
      </c>
      <c r="AH60" s="368">
        <f>$K$60*(1-$J$47)^(Summary!AH98/$G$47)</f>
        <v>18.614629889989388</v>
      </c>
      <c r="AI60" s="368">
        <f>$K$60*(1-$J$47)^(Summary!AI98/$G$47)</f>
        <v>18.615696207139074</v>
      </c>
      <c r="AJ60" s="368">
        <f>$K$60*(1-$J$47)^(Summary!AJ98/$G$47)</f>
        <v>18.616761365408362</v>
      </c>
      <c r="AK60" s="368">
        <f>$K$60*(1-$J$47)^(Summary!AK98/$G$47)</f>
        <v>18.617825365987045</v>
      </c>
      <c r="AL60" s="368">
        <f>$K$60*(1-$J$47)^(Summary!AL98/$G$47)</f>
        <v>18.618888210063854</v>
      </c>
      <c r="AM60" s="368">
        <f>$K$60*(1-$J$47)^(Summary!AM98/$G$47)</f>
        <v>18.619949898826462</v>
      </c>
      <c r="AP60" s="7">
        <f>ROW()</f>
        <v>60</v>
      </c>
    </row>
    <row r="61" spans="2:42" ht="14" customHeight="1">
      <c r="B61" s="91" t="str">
        <f>CONCATENATE("Figures reduce baseline emission factor by percentage calculated from Cell I",AP47, " normalized by Cell F",AP47, ".")</f>
        <v>Figures reduce baseline emission factor by percentage calculated from Cell I47 normalized by Cell F47.</v>
      </c>
      <c r="C61" s="8"/>
      <c r="D61" s="8"/>
      <c r="E61" s="8"/>
      <c r="F61" s="8"/>
      <c r="G61" s="8"/>
      <c r="H61" s="8"/>
      <c r="K61" s="31"/>
      <c r="L61" s="31"/>
      <c r="M61" s="71"/>
      <c r="AP61" s="7">
        <f>ROW()</f>
        <v>61</v>
      </c>
    </row>
    <row r="62" spans="2:42" s="8" customFormat="1" ht="14" customHeight="1">
      <c r="I62" s="24"/>
      <c r="J62" s="24"/>
      <c r="K62" s="13">
        <f t="shared" ref="K62:AM62" si="10">K$13</f>
        <v>2007</v>
      </c>
      <c r="L62" s="13">
        <f t="shared" si="10"/>
        <v>2008</v>
      </c>
      <c r="M62" s="13">
        <f t="shared" si="10"/>
        <v>2009</v>
      </c>
      <c r="N62" s="13">
        <f t="shared" si="10"/>
        <v>2010</v>
      </c>
      <c r="O62" s="13">
        <f t="shared" si="10"/>
        <v>2011</v>
      </c>
      <c r="P62" s="283">
        <f t="shared" si="10"/>
        <v>2012</v>
      </c>
      <c r="Q62" s="13">
        <f t="shared" si="10"/>
        <v>2015</v>
      </c>
      <c r="R62" s="13">
        <f t="shared" si="10"/>
        <v>2016</v>
      </c>
      <c r="S62" s="13">
        <f t="shared" si="10"/>
        <v>2017</v>
      </c>
      <c r="T62" s="13">
        <f t="shared" si="10"/>
        <v>2018</v>
      </c>
      <c r="U62" s="13">
        <f t="shared" si="10"/>
        <v>2019</v>
      </c>
      <c r="V62" s="13">
        <f t="shared" si="10"/>
        <v>2020</v>
      </c>
      <c r="W62" s="13">
        <f t="shared" si="10"/>
        <v>2021</v>
      </c>
      <c r="X62" s="13">
        <f t="shared" si="10"/>
        <v>2022</v>
      </c>
      <c r="Y62" s="13">
        <f t="shared" si="10"/>
        <v>2023</v>
      </c>
      <c r="Z62" s="13">
        <f t="shared" si="10"/>
        <v>2024</v>
      </c>
      <c r="AA62" s="13">
        <f t="shared" si="10"/>
        <v>2025</v>
      </c>
      <c r="AB62" s="13">
        <f t="shared" si="10"/>
        <v>2026</v>
      </c>
      <c r="AC62" s="13">
        <f t="shared" si="10"/>
        <v>2027</v>
      </c>
      <c r="AD62" s="13">
        <f t="shared" si="10"/>
        <v>2028</v>
      </c>
      <c r="AE62" s="13">
        <f t="shared" si="10"/>
        <v>2029</v>
      </c>
      <c r="AF62" s="13">
        <f t="shared" si="10"/>
        <v>2030</v>
      </c>
      <c r="AG62" s="13">
        <f t="shared" si="10"/>
        <v>2031</v>
      </c>
      <c r="AH62" s="13">
        <f t="shared" si="10"/>
        <v>2032</v>
      </c>
      <c r="AI62" s="13">
        <f t="shared" si="10"/>
        <v>2033</v>
      </c>
      <c r="AJ62" s="13">
        <f t="shared" si="10"/>
        <v>2034</v>
      </c>
      <c r="AK62" s="13">
        <f t="shared" si="10"/>
        <v>2035</v>
      </c>
      <c r="AL62" s="13">
        <f t="shared" si="10"/>
        <v>2036</v>
      </c>
      <c r="AM62" s="13">
        <f t="shared" si="10"/>
        <v>2037</v>
      </c>
      <c r="AN62" s="25"/>
      <c r="AP62" s="7">
        <f>ROW()</f>
        <v>62</v>
      </c>
    </row>
    <row r="63" spans="2:42" s="8" customFormat="1" ht="14" customHeight="1">
      <c r="B63" s="8" t="s">
        <v>9</v>
      </c>
      <c r="J63" s="91" t="str">
        <f>CONCATENATE("Row ",AP43, " (sales w/o c-tax), x (one plus Row ",AP59, ") raised to gasoline price-elasticity.")</f>
        <v>Row 43 (sales w/o c-tax), x (one plus Row 59) raised to gasoline price-elasticity.</v>
      </c>
      <c r="M63" s="115"/>
      <c r="N63"/>
      <c r="O63"/>
      <c r="P63" s="327"/>
      <c r="Q63" s="341">
        <f>Q43*(1+Q59)^Parameters!$G$7</f>
        <v>125634.94288821405</v>
      </c>
      <c r="R63" s="115">
        <f>R43*(1+R59)^Parameters!$G$7</f>
        <v>126781.90665033336</v>
      </c>
      <c r="S63" s="115">
        <f>S43*(1+S59)^Parameters!$G$7</f>
        <v>127934.23324029494</v>
      </c>
      <c r="T63" s="115">
        <f>T43*(1+T59)^Parameters!$G$7</f>
        <v>129091.96415430498</v>
      </c>
      <c r="U63" s="115">
        <f>U43*(1+U59)^Parameters!$G$7</f>
        <v>130255.1424896863</v>
      </c>
      <c r="V63" s="115">
        <f>V43*(1+V59)^Parameters!$G$7</f>
        <v>131423.81291595395</v>
      </c>
      <c r="W63" s="115">
        <f>W43*(1+W59)^Parameters!$G$7</f>
        <v>132598.02164546083</v>
      </c>
      <c r="X63" s="115">
        <f>X43*(1+X59)^Parameters!$G$7</f>
        <v>133777.81640369375</v>
      </c>
      <c r="Y63" s="115">
        <f>Y43*(1+Y59)^Parameters!$G$7</f>
        <v>134963.24639929979</v>
      </c>
      <c r="Z63" s="115">
        <f>Z43*(1+Z59)^Parameters!$G$7</f>
        <v>136154.36229391739</v>
      </c>
      <c r="AA63" s="115">
        <f>AA43*(1+AA59)^Parameters!$G$7</f>
        <v>137179.65324071856</v>
      </c>
      <c r="AB63" s="115">
        <f>AB43*(1+AB59)^Parameters!$G$7</f>
        <v>138207.94741482448</v>
      </c>
      <c r="AC63" s="115">
        <f>AC43*(1+AC59)^Parameters!$G$7</f>
        <v>139239.28313153808</v>
      </c>
      <c r="AD63" s="115">
        <f>AD43*(1+AD59)^Parameters!$G$7</f>
        <v>140273.69980340207</v>
      </c>
      <c r="AE63" s="115">
        <f>AE43*(1+AE59)^Parameters!$G$7</f>
        <v>141311.23790273399</v>
      </c>
      <c r="AF63" s="115">
        <f>AF43*(1+AF59)^Parameters!$G$7</f>
        <v>142351.93892459967</v>
      </c>
      <c r="AG63" s="115">
        <f>AG43*(1+AG59)^Parameters!$G$7</f>
        <v>143395.84535027461</v>
      </c>
      <c r="AH63" s="115">
        <f>AH43*(1+AH59)^Parameters!$G$7</f>
        <v>144443.00061123731</v>
      </c>
      <c r="AI63" s="115">
        <f>AI43*(1+AI59)^Parameters!$G$7</f>
        <v>145493.4490537369</v>
      </c>
      <c r="AJ63" s="115">
        <f>AJ43*(1+AJ59)^Parameters!$G$7</f>
        <v>146547.23590397183</v>
      </c>
      <c r="AK63" s="115">
        <f>AK43*(1+AK59)^Parameters!$G$7</f>
        <v>147700.12385426386</v>
      </c>
      <c r="AL63" s="115">
        <f>AL43*(1+AL59)^Parameters!$G$7</f>
        <v>148857.88121576633</v>
      </c>
      <c r="AM63" s="115">
        <f>AM43*(1+AM59)^Parameters!$G$7</f>
        <v>150110.84418182235</v>
      </c>
      <c r="AN63" s="25"/>
      <c r="AP63" s="7">
        <f>ROW()</f>
        <v>63</v>
      </c>
    </row>
    <row r="64" spans="2:42" s="8" customFormat="1" ht="14" customHeight="1">
      <c r="B64" s="8" t="s">
        <v>589</v>
      </c>
      <c r="I64" s="24"/>
      <c r="J64" s="91" t="str">
        <f>CONCATENATE("Product of Rows ",AP63, " and ",AP60, ", with appropriate conversion factor.")</f>
        <v>Product of Rows 63 and 60, with appropriate conversion factor.</v>
      </c>
      <c r="M64" s="139"/>
      <c r="N64"/>
      <c r="O64"/>
      <c r="P64" s="327"/>
      <c r="Q64" s="341">
        <f>Q63*Q60/Parameters!$H$14</f>
        <v>1059.5683027892867</v>
      </c>
      <c r="R64" s="115">
        <f>R63*R60/Parameters!$H$14</f>
        <v>1069.3039129618157</v>
      </c>
      <c r="S64" s="115">
        <f>S63*S60/Parameters!$H$14</f>
        <v>1079.0858185231457</v>
      </c>
      <c r="T64" s="115">
        <f>T63*T60/Parameters!$H$14</f>
        <v>1088.9143756399653</v>
      </c>
      <c r="U64" s="115">
        <f>U63*U60/Parameters!$H$14</f>
        <v>1098.7899540522376</v>
      </c>
      <c r="V64" s="115">
        <f>V63*V60/Parameters!$H$14</f>
        <v>1108.7129368329208</v>
      </c>
      <c r="W64" s="115">
        <f>W63*W60/Parameters!$H$14</f>
        <v>1118.6837201439639</v>
      </c>
      <c r="X64" s="115">
        <f>X63*X60/Parameters!$H$14</f>
        <v>1128.702712989256</v>
      </c>
      <c r="Y64" s="115">
        <f>Y63*Y60/Parameters!$H$14</f>
        <v>1138.7703369651977</v>
      </c>
      <c r="Z64" s="115">
        <f>Z63*Z60/Parameters!$H$14</f>
        <v>1148.8870260095298</v>
      </c>
      <c r="AA64" s="115">
        <f>AA63*AA60/Parameters!$H$14</f>
        <v>1157.6054736325348</v>
      </c>
      <c r="AB64" s="115">
        <f>AB63*AB60/Parameters!$H$14</f>
        <v>1166.3501928487813</v>
      </c>
      <c r="AC64" s="115">
        <f>AC63*AC60/Parameters!$H$14</f>
        <v>1175.1215098547145</v>
      </c>
      <c r="AD64" s="115">
        <f>AD63*AD60/Parameters!$H$14</f>
        <v>1183.9197601747119</v>
      </c>
      <c r="AE64" s="115">
        <f>AE63*AE60/Parameters!$H$14</f>
        <v>1192.7452883473327</v>
      </c>
      <c r="AF64" s="115">
        <f>AF63*AF60/Parameters!$H$14</f>
        <v>1201.5984476151543</v>
      </c>
      <c r="AG64" s="115">
        <f>AG63*AG60/Parameters!$H$14</f>
        <v>1210.4795996186072</v>
      </c>
      <c r="AH64" s="115">
        <f>AH63*AH60/Parameters!$H$14</f>
        <v>1219.3891140941921</v>
      </c>
      <c r="AI64" s="115">
        <f>AI63*AI60/Parameters!$H$14</f>
        <v>1228.3273685774295</v>
      </c>
      <c r="AJ64" s="115">
        <f>AJ63*AJ60/Parameters!$H$14</f>
        <v>1237.2947481108608</v>
      </c>
      <c r="AK64" s="115">
        <f>AK63*AK60/Parameters!$H$14</f>
        <v>1247.0998242418784</v>
      </c>
      <c r="AL64" s="115">
        <f>AL63*AL60/Parameters!$H$14</f>
        <v>1256.9470519470829</v>
      </c>
      <c r="AM64" s="115">
        <f>AM63*AM60/Parameters!$H$14</f>
        <v>1267.5992734403981</v>
      </c>
      <c r="AP64" s="7">
        <f>ROW()</f>
        <v>64</v>
      </c>
    </row>
    <row r="65" spans="1:42" s="8" customFormat="1" ht="14" customHeight="1">
      <c r="B65" s="8" t="s">
        <v>481</v>
      </c>
      <c r="I65" s="24"/>
      <c r="J65" s="91" t="str">
        <f>CONCATENATE("Row ",AP64, " less Row ",AP45, ".")</f>
        <v>Row 64 less Row 45.</v>
      </c>
      <c r="M65" s="139"/>
      <c r="N65"/>
      <c r="O65"/>
      <c r="P65" s="327"/>
      <c r="Q65" s="339">
        <f t="shared" ref="Q65:AM65" si="11">Q64-Q45</f>
        <v>-150.39701053442354</v>
      </c>
      <c r="R65" s="139">
        <f t="shared" si="11"/>
        <v>-149.39265220027642</v>
      </c>
      <c r="S65" s="139">
        <f t="shared" si="11"/>
        <v>-148.40500421627462</v>
      </c>
      <c r="T65" s="139">
        <f t="shared" si="11"/>
        <v>-147.43416507254301</v>
      </c>
      <c r="U65" s="139">
        <f t="shared" si="11"/>
        <v>-146.48022296678914</v>
      </c>
      <c r="V65" s="139">
        <f t="shared" si="11"/>
        <v>-145.54325606825773</v>
      </c>
      <c r="W65" s="139">
        <f t="shared" si="11"/>
        <v>-144.62333278558026</v>
      </c>
      <c r="X65" s="139">
        <f t="shared" si="11"/>
        <v>-143.72051203784372</v>
      </c>
      <c r="Y65" s="139">
        <f t="shared" si="11"/>
        <v>-142.83484352821165</v>
      </c>
      <c r="Z65" s="139">
        <f t="shared" si="11"/>
        <v>-141.96636801945988</v>
      </c>
      <c r="AA65" s="139">
        <f t="shared" si="11"/>
        <v>-140.93885325814927</v>
      </c>
      <c r="AB65" s="139">
        <f t="shared" si="11"/>
        <v>-139.93088965043785</v>
      </c>
      <c r="AC65" s="139">
        <f t="shared" si="11"/>
        <v>-138.94242401281235</v>
      </c>
      <c r="AD65" s="139">
        <f t="shared" si="11"/>
        <v>-137.97339546044373</v>
      </c>
      <c r="AE65" s="139">
        <f t="shared" si="11"/>
        <v>-137.02373573063028</v>
      </c>
      <c r="AF65" s="139">
        <f t="shared" si="11"/>
        <v>-136.09336950270881</v>
      </c>
      <c r="AG65" s="139">
        <f t="shared" si="11"/>
        <v>-135.18221471402944</v>
      </c>
      <c r="AH65" s="139">
        <f t="shared" si="11"/>
        <v>-134.29018287160079</v>
      </c>
      <c r="AI65" s="139">
        <f t="shared" si="11"/>
        <v>-133.41717935906809</v>
      </c>
      <c r="AJ65" s="139">
        <f t="shared" si="11"/>
        <v>-132.5631037386936</v>
      </c>
      <c r="AK65" s="139">
        <f t="shared" si="11"/>
        <v>-131.81327124142695</v>
      </c>
      <c r="AL65" s="139">
        <f t="shared" si="11"/>
        <v>-131.08114552473262</v>
      </c>
      <c r="AM65" s="139">
        <f t="shared" si="11"/>
        <v>-130.44509855927322</v>
      </c>
      <c r="AP65" s="7">
        <f>ROW()</f>
        <v>65</v>
      </c>
    </row>
    <row r="66" spans="1:42" s="8" customFormat="1" ht="14" customHeight="1">
      <c r="B66" s="8" t="s">
        <v>482</v>
      </c>
      <c r="I66" s="24"/>
      <c r="J66" s="91" t="str">
        <f>CONCATENATE("Row ",AP64, " less Cell I",AP45, ".")</f>
        <v>Row 64 less Cell I45.</v>
      </c>
      <c r="M66" s="139"/>
      <c r="N66"/>
      <c r="O66"/>
      <c r="P66" s="327"/>
      <c r="Q66" s="339">
        <f t="shared" ref="Q66:AM66" si="12">Q64-$I$45</f>
        <v>-186.65141196599325</v>
      </c>
      <c r="R66" s="139">
        <f t="shared" si="12"/>
        <v>-176.9158017934642</v>
      </c>
      <c r="S66" s="139">
        <f t="shared" si="12"/>
        <v>-167.13389623213425</v>
      </c>
      <c r="T66" s="139">
        <f t="shared" si="12"/>
        <v>-157.30533911531461</v>
      </c>
      <c r="U66" s="139">
        <f t="shared" si="12"/>
        <v>-147.42976070304235</v>
      </c>
      <c r="V66" s="139">
        <f t="shared" si="12"/>
        <v>-137.50677792235911</v>
      </c>
      <c r="W66" s="139">
        <f t="shared" si="12"/>
        <v>-127.53599461131603</v>
      </c>
      <c r="X66" s="139">
        <f t="shared" si="12"/>
        <v>-117.5170017660239</v>
      </c>
      <c r="Y66" s="139">
        <f t="shared" si="12"/>
        <v>-107.44937779008228</v>
      </c>
      <c r="Z66" s="139">
        <f t="shared" si="12"/>
        <v>-97.332688745750147</v>
      </c>
      <c r="AA66" s="139">
        <f t="shared" si="12"/>
        <v>-88.61424112274517</v>
      </c>
      <c r="AB66" s="139">
        <f t="shared" si="12"/>
        <v>-79.869521906498676</v>
      </c>
      <c r="AC66" s="139">
        <f t="shared" si="12"/>
        <v>-71.098204900565406</v>
      </c>
      <c r="AD66" s="139">
        <f t="shared" si="12"/>
        <v>-62.299954580568055</v>
      </c>
      <c r="AE66" s="139">
        <f t="shared" si="12"/>
        <v>-53.474426407947249</v>
      </c>
      <c r="AF66" s="139">
        <f t="shared" si="12"/>
        <v>-44.62126714012561</v>
      </c>
      <c r="AG66" s="139">
        <f t="shared" si="12"/>
        <v>-35.740115136672785</v>
      </c>
      <c r="AH66" s="139">
        <f t="shared" si="12"/>
        <v>-26.830600661087828</v>
      </c>
      <c r="AI66" s="139">
        <f t="shared" si="12"/>
        <v>-17.892346177850413</v>
      </c>
      <c r="AJ66" s="139">
        <f t="shared" si="12"/>
        <v>-8.9249666444191007</v>
      </c>
      <c r="AK66" s="139">
        <f t="shared" si="12"/>
        <v>0.88010948659848509</v>
      </c>
      <c r="AL66" s="139">
        <f t="shared" si="12"/>
        <v>10.727337191802917</v>
      </c>
      <c r="AM66" s="139">
        <f t="shared" si="12"/>
        <v>21.379558685118127</v>
      </c>
      <c r="AN66" s="139"/>
      <c r="AP66" s="7">
        <f>ROW()</f>
        <v>66</v>
      </c>
    </row>
    <row r="67" spans="1:42" s="8" customFormat="1" ht="14" customHeight="1">
      <c r="B67" s="8" t="s">
        <v>366</v>
      </c>
      <c r="I67" s="24"/>
      <c r="J67" s="91" t="str">
        <f>CONCATENATE("Product of Rows ",AP17, " and ",AP64, ", with appropriate conversion factor.")</f>
        <v>Product of Rows 17 and 64, with appropriate conversion factor.</v>
      </c>
      <c r="M67" s="139"/>
      <c r="N67"/>
      <c r="O67"/>
      <c r="P67" s="327"/>
      <c r="Q67" s="342">
        <f t="shared" ref="Q67:AM67" si="13">ROUND(Q64*Q17,-2)/1000</f>
        <v>119.4</v>
      </c>
      <c r="R67" s="350">
        <f t="shared" si="13"/>
        <v>122.4</v>
      </c>
      <c r="S67" s="350">
        <f t="shared" si="13"/>
        <v>125.6</v>
      </c>
      <c r="T67" s="350">
        <f t="shared" si="13"/>
        <v>128.80000000000001</v>
      </c>
      <c r="U67" s="350">
        <f t="shared" si="13"/>
        <v>132.1</v>
      </c>
      <c r="V67" s="350">
        <f t="shared" si="13"/>
        <v>135.4</v>
      </c>
      <c r="W67" s="350">
        <f t="shared" si="13"/>
        <v>138.9</v>
      </c>
      <c r="X67" s="350">
        <f t="shared" si="13"/>
        <v>142.4</v>
      </c>
      <c r="Y67" s="350">
        <f t="shared" si="13"/>
        <v>146</v>
      </c>
      <c r="Z67" s="350">
        <f t="shared" si="13"/>
        <v>149.80000000000001</v>
      </c>
      <c r="AA67" s="350">
        <f t="shared" si="13"/>
        <v>153.4</v>
      </c>
      <c r="AB67" s="350">
        <f t="shared" si="13"/>
        <v>157</v>
      </c>
      <c r="AC67" s="350">
        <f t="shared" si="13"/>
        <v>160.80000000000001</v>
      </c>
      <c r="AD67" s="350">
        <f t="shared" si="13"/>
        <v>164.7</v>
      </c>
      <c r="AE67" s="350">
        <f t="shared" si="13"/>
        <v>168.6</v>
      </c>
      <c r="AF67" s="350">
        <f t="shared" si="13"/>
        <v>172.6</v>
      </c>
      <c r="AG67" s="350">
        <f t="shared" si="13"/>
        <v>176.7</v>
      </c>
      <c r="AH67" s="350">
        <f t="shared" si="13"/>
        <v>181</v>
      </c>
      <c r="AI67" s="350">
        <f t="shared" si="13"/>
        <v>185.3</v>
      </c>
      <c r="AJ67" s="350">
        <f t="shared" si="13"/>
        <v>189.7</v>
      </c>
      <c r="AK67" s="350">
        <f t="shared" si="13"/>
        <v>194.3</v>
      </c>
      <c r="AL67" s="350">
        <f t="shared" si="13"/>
        <v>199</v>
      </c>
      <c r="AM67" s="350">
        <f t="shared" si="13"/>
        <v>204</v>
      </c>
      <c r="AN67" s="25"/>
      <c r="AP67" s="7">
        <f>ROW()</f>
        <v>67</v>
      </c>
    </row>
    <row r="68" spans="1:42" s="8" customFormat="1" ht="14" customHeight="1">
      <c r="B68" s="8" t="s">
        <v>365</v>
      </c>
      <c r="I68" s="24"/>
      <c r="J68" s="91" t="str">
        <f>CONCATENATE("Row ",AP67, " prorated by ratio of Rows ",AP20, " and ",AP17, ".")</f>
        <v>Row 67 prorated by ratio of Rows 20 and 17.</v>
      </c>
      <c r="M68" s="139"/>
      <c r="N68"/>
      <c r="O68"/>
      <c r="P68" s="327"/>
      <c r="Q68" s="342">
        <f t="shared" ref="Q68:AM68" si="14">Q67*Q20/Q17</f>
        <v>0</v>
      </c>
      <c r="R68" s="350">
        <f t="shared" si="14"/>
        <v>0</v>
      </c>
      <c r="S68" s="350">
        <f t="shared" si="14"/>
        <v>0</v>
      </c>
      <c r="T68" s="350">
        <f t="shared" si="14"/>
        <v>0</v>
      </c>
      <c r="U68" s="350">
        <f t="shared" si="14"/>
        <v>0</v>
      </c>
      <c r="V68" s="350">
        <f t="shared" si="14"/>
        <v>0</v>
      </c>
      <c r="W68" s="350">
        <f t="shared" si="14"/>
        <v>0</v>
      </c>
      <c r="X68" s="350">
        <f t="shared" si="14"/>
        <v>0</v>
      </c>
      <c r="Y68" s="350">
        <f t="shared" si="14"/>
        <v>0</v>
      </c>
      <c r="Z68" s="350">
        <f t="shared" si="14"/>
        <v>0</v>
      </c>
      <c r="AA68" s="350">
        <f t="shared" si="14"/>
        <v>0</v>
      </c>
      <c r="AB68" s="350">
        <f t="shared" si="14"/>
        <v>0</v>
      </c>
      <c r="AC68" s="350">
        <f t="shared" si="14"/>
        <v>0</v>
      </c>
      <c r="AD68" s="350">
        <f t="shared" si="14"/>
        <v>0</v>
      </c>
      <c r="AE68" s="350">
        <f t="shared" si="14"/>
        <v>0</v>
      </c>
      <c r="AF68" s="350">
        <f t="shared" si="14"/>
        <v>0</v>
      </c>
      <c r="AG68" s="350">
        <f t="shared" si="14"/>
        <v>0</v>
      </c>
      <c r="AH68" s="350">
        <f t="shared" si="14"/>
        <v>0</v>
      </c>
      <c r="AI68" s="350">
        <f t="shared" si="14"/>
        <v>0</v>
      </c>
      <c r="AJ68" s="350">
        <f t="shared" si="14"/>
        <v>0</v>
      </c>
      <c r="AK68" s="350">
        <f t="shared" si="14"/>
        <v>0</v>
      </c>
      <c r="AL68" s="350">
        <f t="shared" si="14"/>
        <v>0</v>
      </c>
      <c r="AM68" s="350">
        <f t="shared" si="14"/>
        <v>0</v>
      </c>
      <c r="AN68" s="350"/>
      <c r="AP68" s="7">
        <f>ROW()</f>
        <v>68</v>
      </c>
    </row>
    <row r="69" spans="1:42" s="8" customFormat="1" ht="14" customHeight="1">
      <c r="B69" s="8" t="s">
        <v>492</v>
      </c>
      <c r="I69" s="24"/>
      <c r="J69" s="91" t="str">
        <f>CONCATENATE("Sum of Rows ",AP67, " and ",AP68, ".")</f>
        <v>Sum of Rows 67 and 68.</v>
      </c>
      <c r="M69" s="139"/>
      <c r="N69"/>
      <c r="O69"/>
      <c r="P69" s="327"/>
      <c r="Q69" s="342">
        <f>Q67+Q68</f>
        <v>119.4</v>
      </c>
      <c r="R69" s="350">
        <f t="shared" ref="R69:AM69" si="15">R67+R68</f>
        <v>122.4</v>
      </c>
      <c r="S69" s="350">
        <f t="shared" si="15"/>
        <v>125.6</v>
      </c>
      <c r="T69" s="350">
        <f t="shared" si="15"/>
        <v>128.80000000000001</v>
      </c>
      <c r="U69" s="350">
        <f t="shared" si="15"/>
        <v>132.1</v>
      </c>
      <c r="V69" s="350">
        <f t="shared" si="15"/>
        <v>135.4</v>
      </c>
      <c r="W69" s="350">
        <f t="shared" si="15"/>
        <v>138.9</v>
      </c>
      <c r="X69" s="350">
        <f t="shared" si="15"/>
        <v>142.4</v>
      </c>
      <c r="Y69" s="350">
        <f t="shared" si="15"/>
        <v>146</v>
      </c>
      <c r="Z69" s="350">
        <f t="shared" si="15"/>
        <v>149.80000000000001</v>
      </c>
      <c r="AA69" s="350">
        <f t="shared" si="15"/>
        <v>153.4</v>
      </c>
      <c r="AB69" s="350">
        <f t="shared" si="15"/>
        <v>157</v>
      </c>
      <c r="AC69" s="350">
        <f t="shared" si="15"/>
        <v>160.80000000000001</v>
      </c>
      <c r="AD69" s="350">
        <f t="shared" si="15"/>
        <v>164.7</v>
      </c>
      <c r="AE69" s="350">
        <f t="shared" si="15"/>
        <v>168.6</v>
      </c>
      <c r="AF69" s="350">
        <f t="shared" si="15"/>
        <v>172.6</v>
      </c>
      <c r="AG69" s="350">
        <f t="shared" si="15"/>
        <v>176.7</v>
      </c>
      <c r="AH69" s="350">
        <f t="shared" si="15"/>
        <v>181</v>
      </c>
      <c r="AI69" s="350">
        <f t="shared" si="15"/>
        <v>185.3</v>
      </c>
      <c r="AJ69" s="350">
        <f t="shared" si="15"/>
        <v>189.7</v>
      </c>
      <c r="AK69" s="350">
        <f t="shared" si="15"/>
        <v>194.3</v>
      </c>
      <c r="AL69" s="350">
        <f t="shared" si="15"/>
        <v>199</v>
      </c>
      <c r="AM69" s="350">
        <f t="shared" si="15"/>
        <v>204</v>
      </c>
      <c r="AN69" s="25"/>
      <c r="AP69" s="7">
        <f>ROW()</f>
        <v>69</v>
      </c>
    </row>
    <row r="70" spans="1:42" s="8" customFormat="1" ht="14" customHeight="1">
      <c r="A70"/>
      <c r="I70" s="24"/>
      <c r="J70" s="24"/>
      <c r="M70" s="139"/>
      <c r="N70" s="139"/>
      <c r="O70" s="139"/>
      <c r="P70" s="139"/>
      <c r="Q70" s="341"/>
      <c r="R70" s="25"/>
      <c r="S70" s="25"/>
      <c r="T70" s="25"/>
      <c r="U70" s="25"/>
      <c r="V70" s="25"/>
      <c r="W70" s="25"/>
      <c r="X70" s="25"/>
      <c r="Y70" s="25"/>
      <c r="Z70" s="25"/>
      <c r="AA70" s="25"/>
      <c r="AB70" s="25"/>
      <c r="AC70" s="25"/>
      <c r="AD70" s="25"/>
      <c r="AE70" s="25"/>
      <c r="AF70" s="25"/>
      <c r="AG70" s="25"/>
      <c r="AH70" s="25"/>
      <c r="AI70" s="25"/>
      <c r="AJ70" s="25"/>
      <c r="AK70" s="25"/>
      <c r="AL70" s="25"/>
      <c r="AM70" s="25"/>
      <c r="AN70" s="25"/>
      <c r="AP70" s="7">
        <f>ROW()</f>
        <v>70</v>
      </c>
    </row>
    <row r="71" spans="1:42" ht="14" customHeight="1">
      <c r="B71" s="56" t="s">
        <v>131</v>
      </c>
      <c r="I71" s="351">
        <f>-Parameters!G7</f>
        <v>0.4</v>
      </c>
      <c r="J71" s="56"/>
      <c r="M71" s="71"/>
      <c r="AP71" s="7">
        <f>ROW()</f>
        <v>71</v>
      </c>
    </row>
    <row r="72" spans="1:42" ht="14" customHeight="1">
      <c r="B72" s="3" t="s">
        <v>119</v>
      </c>
      <c r="M72" s="71"/>
      <c r="AP72" s="7">
        <f>ROW()</f>
        <v>72</v>
      </c>
    </row>
    <row r="73" spans="1:42" ht="14" customHeight="1">
      <c r="B73" s="3"/>
      <c r="I73" s="4"/>
      <c r="J73" s="4"/>
      <c r="M73" s="71"/>
      <c r="AP73" s="7">
        <f>ROW()</f>
        <v>73</v>
      </c>
    </row>
    <row r="74" spans="1:42" ht="14" customHeight="1">
      <c r="B74" s="8" t="s">
        <v>123</v>
      </c>
      <c r="D74" t="s">
        <v>91</v>
      </c>
      <c r="M74" s="71"/>
      <c r="Q74" s="344"/>
      <c r="R74" s="16"/>
      <c r="AP74" s="7">
        <f>ROW()</f>
        <v>74</v>
      </c>
    </row>
    <row r="75" spans="1:42" ht="14" customHeight="1">
      <c r="M75" s="71"/>
      <c r="AP75" s="7">
        <f>ROW()</f>
        <v>75</v>
      </c>
    </row>
    <row r="76" spans="1:42" ht="14" customHeight="1">
      <c r="B76" s="738" t="s">
        <v>754</v>
      </c>
      <c r="C76" s="738"/>
      <c r="D76" s="738"/>
      <c r="E76" s="738"/>
      <c r="F76" s="738"/>
      <c r="G76" s="738"/>
      <c r="H76" s="738"/>
      <c r="J76" s="58"/>
      <c r="M76" s="71"/>
      <c r="AP76" s="7">
        <f>ROW()</f>
        <v>76</v>
      </c>
    </row>
    <row r="77" spans="1:42" ht="14" customHeight="1">
      <c r="B77" s="738"/>
      <c r="C77" s="738"/>
      <c r="D77" s="738"/>
      <c r="E77" s="738"/>
      <c r="F77" s="738"/>
      <c r="G77" s="738"/>
      <c r="H77" s="738"/>
      <c r="J77" s="58"/>
      <c r="M77" s="71"/>
      <c r="AP77" s="7">
        <f>ROW()</f>
        <v>77</v>
      </c>
    </row>
    <row r="78" spans="1:42" ht="14" customHeight="1">
      <c r="M78" s="71"/>
      <c r="AP78" s="7">
        <f>ROW()</f>
        <v>78</v>
      </c>
    </row>
    <row r="79" spans="1:42" ht="14" customHeight="1">
      <c r="B79" s="13" t="s">
        <v>606</v>
      </c>
      <c r="F79" s="12"/>
      <c r="G79" s="12">
        <f>HLOOKUP(10,Q15:AM30,16)</f>
        <v>2024</v>
      </c>
      <c r="H79" s="12"/>
      <c r="M79" s="71"/>
      <c r="AP79" s="7">
        <f>ROW()</f>
        <v>79</v>
      </c>
    </row>
    <row r="80" spans="1:42" ht="14" customHeight="1">
      <c r="M80" s="71"/>
      <c r="AP80" s="7">
        <f>ROW()</f>
        <v>80</v>
      </c>
    </row>
    <row r="81" spans="1:42" ht="14" customHeight="1">
      <c r="A81" s="13"/>
      <c r="B81" s="32" t="s">
        <v>625</v>
      </c>
      <c r="G81" s="38">
        <f>HLOOKUP(G79,Q30:AM43,14)</f>
        <v>145440.39168141692</v>
      </c>
      <c r="H81" s="38"/>
      <c r="M81" s="71"/>
      <c r="AP81" s="7">
        <f>ROW()</f>
        <v>81</v>
      </c>
    </row>
    <row r="82" spans="1:42" ht="14" customHeight="1">
      <c r="B82" s="32" t="s">
        <v>626</v>
      </c>
      <c r="G82" s="38">
        <f>HLOOKUP(G79,Q62:AM69,2)</f>
        <v>136154.36229391739</v>
      </c>
      <c r="H82" s="38"/>
      <c r="M82" s="71"/>
      <c r="AP82" s="7">
        <f>ROW()</f>
        <v>82</v>
      </c>
    </row>
    <row r="83" spans="1:42" s="13" customFormat="1" ht="14" customHeight="1">
      <c r="A83"/>
      <c r="B83" s="13" t="s">
        <v>7</v>
      </c>
      <c r="G83" s="39">
        <f>G82/G81</f>
        <v>0.93615233512406715</v>
      </c>
      <c r="H83" s="39"/>
      <c r="M83" s="166"/>
      <c r="N83" s="166"/>
      <c r="O83" s="166"/>
      <c r="P83" s="166"/>
      <c r="Q83" s="340"/>
      <c r="AP83" s="7">
        <f>ROW()</f>
        <v>83</v>
      </c>
    </row>
    <row r="84" spans="1:42" ht="14" customHeight="1">
      <c r="M84" s="71"/>
      <c r="AP84" s="7">
        <f>ROW()</f>
        <v>84</v>
      </c>
    </row>
    <row r="85" spans="1:42" ht="14" customHeight="1">
      <c r="A85" s="13"/>
      <c r="B85" t="s">
        <v>0</v>
      </c>
      <c r="G85" s="21">
        <f>K60</f>
        <v>19.570435014151581</v>
      </c>
      <c r="H85" s="21"/>
      <c r="M85" s="71"/>
      <c r="AP85" s="7">
        <f>ROW()</f>
        <v>85</v>
      </c>
    </row>
    <row r="86" spans="1:42" ht="14" customHeight="1">
      <c r="B86" t="s">
        <v>1</v>
      </c>
      <c r="G86" s="21">
        <f>HLOOKUP(G79,Q46:AM60,15)</f>
        <v>18.606057489971342</v>
      </c>
      <c r="H86" s="21"/>
      <c r="M86" s="71"/>
      <c r="AP86" s="7">
        <f>ROW()</f>
        <v>86</v>
      </c>
    </row>
    <row r="87" spans="1:42" s="13" customFormat="1" ht="14" customHeight="1">
      <c r="A87"/>
      <c r="B87" s="13" t="s">
        <v>7</v>
      </c>
      <c r="G87" s="39">
        <f>G86/G85</f>
        <v>0.95072273439589416</v>
      </c>
      <c r="H87" s="39"/>
      <c r="M87" s="166"/>
      <c r="N87" s="166"/>
      <c r="O87" s="166"/>
      <c r="P87" s="166"/>
      <c r="Q87" s="340"/>
      <c r="AP87" s="7">
        <f>ROW()</f>
        <v>87</v>
      </c>
    </row>
    <row r="88" spans="1:42" ht="14" customHeight="1">
      <c r="G88" s="21"/>
      <c r="H88" s="21"/>
      <c r="M88" s="71"/>
      <c r="AP88" s="7">
        <f>ROW()</f>
        <v>88</v>
      </c>
    </row>
    <row r="89" spans="1:42" ht="14" customHeight="1">
      <c r="B89" s="3" t="s">
        <v>165</v>
      </c>
      <c r="G89" s="21"/>
      <c r="H89" s="21"/>
      <c r="M89" s="71"/>
      <c r="AP89" s="7">
        <f>ROW()</f>
        <v>89</v>
      </c>
    </row>
    <row r="90" spans="1:42" ht="14" customHeight="1">
      <c r="A90" s="13"/>
      <c r="B90" s="32" t="s">
        <v>621</v>
      </c>
      <c r="G90" s="38">
        <f>HLOOKUP(G79,Q30:AM45,16)</f>
        <v>1290.8533940289897</v>
      </c>
      <c r="H90" s="21"/>
      <c r="M90" s="71"/>
      <c r="AP90" s="7">
        <f>ROW()</f>
        <v>90</v>
      </c>
    </row>
    <row r="91" spans="1:42" ht="14" customHeight="1">
      <c r="A91" s="13"/>
      <c r="B91" s="32" t="s">
        <v>622</v>
      </c>
      <c r="G91" s="38">
        <f>HLOOKUP(G79,Q62:AM69,3)</f>
        <v>1148.8870260095298</v>
      </c>
      <c r="H91" s="21"/>
      <c r="M91" s="71"/>
      <c r="AP91" s="7">
        <f>ROW()</f>
        <v>91</v>
      </c>
    </row>
    <row r="92" spans="1:42" ht="14" customHeight="1">
      <c r="A92" s="13"/>
      <c r="B92" s="13" t="s">
        <v>7</v>
      </c>
      <c r="C92" s="13"/>
      <c r="D92" s="13"/>
      <c r="E92" s="13"/>
      <c r="F92" s="13"/>
      <c r="G92" s="57">
        <f>G91/G90</f>
        <v>0.89002130786025446</v>
      </c>
      <c r="H92" s="57"/>
      <c r="M92" s="71"/>
      <c r="AP92" s="7">
        <f>ROW()</f>
        <v>92</v>
      </c>
    </row>
    <row r="93" spans="1:42" ht="14" customHeight="1">
      <c r="G93" s="21"/>
      <c r="H93" s="21"/>
      <c r="M93" s="71"/>
      <c r="AP93" s="7">
        <f>ROW()</f>
        <v>93</v>
      </c>
    </row>
    <row r="94" spans="1:42" ht="14" customHeight="1">
      <c r="B94" s="13" t="s">
        <v>6</v>
      </c>
      <c r="C94" s="13"/>
      <c r="D94" s="13"/>
      <c r="E94" s="13"/>
      <c r="F94" s="13"/>
      <c r="G94" s="57">
        <f>G87*G83</f>
        <v>0.89002130786025457</v>
      </c>
      <c r="H94" s="57"/>
      <c r="M94" s="71"/>
      <c r="AP94" s="7">
        <f>ROW()</f>
        <v>94</v>
      </c>
    </row>
    <row r="95" spans="1:42" ht="14" customHeight="1">
      <c r="G95" s="21"/>
      <c r="H95" s="21"/>
      <c r="M95" s="71"/>
      <c r="AP95" s="7">
        <f>ROW()</f>
        <v>95</v>
      </c>
    </row>
    <row r="96" spans="1:42" ht="14" customHeight="1">
      <c r="B96" t="s">
        <v>127</v>
      </c>
      <c r="G96" s="21"/>
      <c r="H96" s="21"/>
      <c r="M96" s="71"/>
      <c r="AP96" s="7">
        <f>ROW()</f>
        <v>96</v>
      </c>
    </row>
    <row r="97" spans="2:42" ht="14" customHeight="1">
      <c r="B97" t="s">
        <v>128</v>
      </c>
      <c r="G97" s="6">
        <f>(1-G83)/(1-G87)</f>
        <v>1.295681976124361</v>
      </c>
      <c r="H97" s="6"/>
      <c r="M97" s="71"/>
      <c r="AP97" s="7">
        <f>ROW()</f>
        <v>97</v>
      </c>
    </row>
    <row r="98" spans="2:42" ht="14" customHeight="1">
      <c r="M98" s="71"/>
      <c r="AP98" s="7">
        <f>ROW()</f>
        <v>98</v>
      </c>
    </row>
    <row r="99" spans="2:42" ht="14" customHeight="1">
      <c r="B99" s="40" t="s">
        <v>129</v>
      </c>
      <c r="C99" s="41"/>
      <c r="D99" s="41"/>
      <c r="E99" s="41"/>
      <c r="F99" s="41"/>
      <c r="G99" s="72">
        <f>G97/(1+G97)</f>
        <v>0.56439959436880283</v>
      </c>
      <c r="H99" s="110"/>
      <c r="M99" s="71"/>
      <c r="AP99" s="7">
        <f>ROW()</f>
        <v>99</v>
      </c>
    </row>
    <row r="100" spans="2:42" ht="14" customHeight="1">
      <c r="B100" s="43" t="s">
        <v>130</v>
      </c>
      <c r="C100" s="44"/>
      <c r="D100" s="44"/>
      <c r="E100" s="44"/>
      <c r="F100" s="44"/>
      <c r="G100" s="45">
        <f>1-G99</f>
        <v>0.43560040563119717</v>
      </c>
      <c r="H100" s="111"/>
      <c r="M100" s="71"/>
      <c r="AP100" s="7">
        <f>ROW()</f>
        <v>100</v>
      </c>
    </row>
    <row r="101" spans="2:42" ht="14" customHeight="1">
      <c r="M101" s="71"/>
      <c r="AP101" s="7">
        <f>ROW()</f>
        <v>101</v>
      </c>
    </row>
    <row r="102" spans="2:42" ht="14" customHeight="1">
      <c r="B102" s="32" t="s">
        <v>85</v>
      </c>
      <c r="G102" s="38">
        <f>G90-G91</f>
        <v>141.96636801945988</v>
      </c>
      <c r="M102" s="71"/>
      <c r="AP102" s="7">
        <f>ROW()</f>
        <v>102</v>
      </c>
    </row>
    <row r="103" spans="2:42" ht="14" customHeight="1">
      <c r="B103" s="91" t="str">
        <f>CONCATENATE("Difference between Rows ",AP90," and ",AP91, ".")</f>
        <v>Difference between Rows 90 and 91.</v>
      </c>
      <c r="M103" s="71"/>
      <c r="AP103" s="7">
        <f>ROW()</f>
        <v>103</v>
      </c>
    </row>
    <row r="104" spans="2:42" ht="14" customHeight="1">
      <c r="B104" s="32" t="s">
        <v>910</v>
      </c>
      <c r="G104" s="38">
        <f>G99*$G$102</f>
        <v>80.125760524195343</v>
      </c>
      <c r="M104" s="71"/>
      <c r="AP104" s="7">
        <f>ROW()</f>
        <v>104</v>
      </c>
    </row>
    <row r="105" spans="2:42" ht="14" customHeight="1">
      <c r="B105" s="32" t="s">
        <v>911</v>
      </c>
      <c r="G105" s="38">
        <f>G100*$G$102</f>
        <v>61.840607495264543</v>
      </c>
      <c r="M105" s="71"/>
      <c r="AP105" s="7">
        <f>ROW()</f>
        <v>105</v>
      </c>
    </row>
    <row r="106" spans="2:42" ht="14" customHeight="1">
      <c r="B106" s="91" t="str">
        <f>CONCATENATE("Product of Rows ",AP102," and Rows ",AP99, " and ",AP100, ", respectively.")</f>
        <v>Product of Rows 102 and Rows 99 and 100, respectively.</v>
      </c>
      <c r="M106" s="71"/>
      <c r="AP106" s="7">
        <f>ROW()</f>
        <v>106</v>
      </c>
    </row>
    <row r="107" spans="2:42" ht="14" customHeight="1">
      <c r="M107" s="71"/>
      <c r="AP107" s="7">
        <f>ROW()</f>
        <v>107</v>
      </c>
    </row>
    <row r="108" spans="2:42" ht="14" customHeight="1">
      <c r="M108" s="71"/>
    </row>
    <row r="109" spans="2:42" ht="14" customHeight="1">
      <c r="M109" s="71"/>
    </row>
    <row r="110" spans="2:42" ht="14" customHeight="1">
      <c r="M110" s="71"/>
    </row>
    <row r="111" spans="2:42" ht="14" customHeight="1">
      <c r="M111" s="71"/>
    </row>
    <row r="112" spans="2:42" ht="14" customHeight="1">
      <c r="M112" s="71"/>
    </row>
    <row r="113" spans="13:13" ht="14" customHeight="1">
      <c r="M113" s="71"/>
    </row>
    <row r="114" spans="13:13" ht="14" customHeight="1">
      <c r="M114" s="71"/>
    </row>
    <row r="115" spans="13:13" ht="14" customHeight="1">
      <c r="M115" s="71"/>
    </row>
    <row r="116" spans="13:13" ht="14" customHeight="1">
      <c r="M116" s="71"/>
    </row>
    <row r="117" spans="13:13" ht="14" customHeight="1">
      <c r="M117" s="71"/>
    </row>
    <row r="118" spans="13:13" ht="14" customHeight="1">
      <c r="M118" s="71"/>
    </row>
    <row r="119" spans="13:13" ht="14" customHeight="1">
      <c r="M119" s="71"/>
    </row>
    <row r="120" spans="13:13" ht="14" customHeight="1">
      <c r="M120" s="71"/>
    </row>
    <row r="121" spans="13:13" ht="14" customHeight="1">
      <c r="M121" s="71"/>
    </row>
    <row r="122" spans="13:13" ht="14" customHeight="1">
      <c r="M122" s="71"/>
    </row>
    <row r="123" spans="13:13" ht="14" customHeight="1">
      <c r="M123" s="71"/>
    </row>
    <row r="124" spans="13:13" ht="14" customHeight="1">
      <c r="M124" s="71"/>
    </row>
    <row r="125" spans="13:13" ht="14" customHeight="1">
      <c r="M125" s="71"/>
    </row>
    <row r="126" spans="13:13" ht="14" customHeight="1">
      <c r="M126" s="71"/>
    </row>
    <row r="127" spans="13:13" ht="14" customHeight="1">
      <c r="M127" s="71"/>
    </row>
    <row r="128" spans="13:13" ht="14" customHeight="1">
      <c r="M128" s="71"/>
    </row>
    <row r="129" spans="13:13" ht="14" customHeight="1">
      <c r="M129" s="71"/>
    </row>
    <row r="130" spans="13:13" ht="14" customHeight="1">
      <c r="M130" s="71"/>
    </row>
    <row r="131" spans="13:13" ht="14" customHeight="1">
      <c r="M131" s="71"/>
    </row>
    <row r="132" spans="13:13" ht="14" customHeight="1">
      <c r="M132" s="71"/>
    </row>
    <row r="133" spans="13:13" ht="14" customHeight="1">
      <c r="M133" s="71"/>
    </row>
    <row r="134" spans="13:13" ht="14" customHeight="1">
      <c r="M134" s="71"/>
    </row>
    <row r="135" spans="13:13" ht="14" customHeight="1">
      <c r="M135" s="71"/>
    </row>
    <row r="136" spans="13:13" ht="14" customHeight="1">
      <c r="M136" s="71"/>
    </row>
    <row r="137" spans="13:13" ht="14" customHeight="1">
      <c r="M137" s="71"/>
    </row>
    <row r="138" spans="13:13" ht="14" customHeight="1">
      <c r="M138" s="71"/>
    </row>
    <row r="139" spans="13:13" ht="14" customHeight="1">
      <c r="M139" s="71"/>
    </row>
    <row r="140" spans="13:13" ht="14" customHeight="1">
      <c r="M140" s="71"/>
    </row>
    <row r="141" spans="13:13" ht="14" customHeight="1">
      <c r="M141" s="71"/>
    </row>
    <row r="142" spans="13:13" ht="14" customHeight="1">
      <c r="M142" s="71"/>
    </row>
    <row r="143" spans="13:13" ht="14" customHeight="1">
      <c r="M143" s="71"/>
    </row>
    <row r="144" spans="13:13" ht="14" customHeight="1">
      <c r="M144" s="71"/>
    </row>
    <row r="145" spans="13:13" ht="14" customHeight="1">
      <c r="M145" s="71"/>
    </row>
    <row r="146" spans="13:13" ht="14" customHeight="1">
      <c r="M146" s="71"/>
    </row>
    <row r="147" spans="13:13" ht="14" customHeight="1">
      <c r="M147" s="71"/>
    </row>
    <row r="148" spans="13:13" ht="14" customHeight="1">
      <c r="M148" s="71"/>
    </row>
    <row r="149" spans="13:13" ht="14" customHeight="1">
      <c r="M149" s="71"/>
    </row>
    <row r="150" spans="13:13" ht="14" customHeight="1">
      <c r="M150" s="71"/>
    </row>
    <row r="151" spans="13:13" ht="14" customHeight="1">
      <c r="M151" s="71"/>
    </row>
    <row r="152" spans="13:13" ht="14" customHeight="1">
      <c r="M152" s="71"/>
    </row>
    <row r="153" spans="13:13" ht="14" customHeight="1">
      <c r="M153" s="71"/>
    </row>
    <row r="154" spans="13:13" ht="14" customHeight="1">
      <c r="M154" s="71"/>
    </row>
    <row r="155" spans="13:13" ht="14" customHeight="1">
      <c r="M155" s="71"/>
    </row>
    <row r="156" spans="13:13" ht="14" customHeight="1">
      <c r="M156" s="71"/>
    </row>
  </sheetData>
  <mergeCells count="16">
    <mergeCell ref="Q3:R5"/>
    <mergeCell ref="Q9:Q12"/>
    <mergeCell ref="L9:L12"/>
    <mergeCell ref="B52:P54"/>
    <mergeCell ref="K9:K12"/>
    <mergeCell ref="B76:H77"/>
    <mergeCell ref="B3:F5"/>
    <mergeCell ref="N9:N12"/>
    <mergeCell ref="O9:O12"/>
    <mergeCell ref="P9:P12"/>
    <mergeCell ref="B37:L38"/>
    <mergeCell ref="B9:H10"/>
    <mergeCell ref="I9:I12"/>
    <mergeCell ref="J9:J12"/>
    <mergeCell ref="G3:I5"/>
    <mergeCell ref="M9:M12"/>
  </mergeCells>
  <phoneticPr fontId="3" type="noConversion"/>
  <printOptions gridLines="1"/>
  <pageMargins left="0.6" right="0.6" top="0.4" bottom="0.4" header="0.5" footer="0.5"/>
  <pageSetup scale="90" orientation="landscape"/>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24</vt:i4>
      </vt:variant>
    </vt:vector>
  </HeadingPairs>
  <TitlesOfParts>
    <vt:vector size="24" baseType="lpstr">
      <vt:lpstr>Summary</vt:lpstr>
      <vt:lpstr>Index</vt:lpstr>
      <vt:lpstr>Baucus</vt:lpstr>
      <vt:lpstr>Graph_CO2</vt:lpstr>
      <vt:lpstr>Graph_Oil</vt:lpstr>
      <vt:lpstr>Graph_Revenue</vt:lpstr>
      <vt:lpstr>How</vt:lpstr>
      <vt:lpstr>Electricity</vt:lpstr>
      <vt:lpstr>Personal Ground Travel</vt:lpstr>
      <vt:lpstr>Freight</vt:lpstr>
      <vt:lpstr>Aviation</vt:lpstr>
      <vt:lpstr>Other_Petrol</vt:lpstr>
      <vt:lpstr>Other_Natural Gas</vt:lpstr>
      <vt:lpstr>AEO</vt:lpstr>
      <vt:lpstr>Parameters</vt:lpstr>
      <vt:lpstr>Emissions</vt:lpstr>
      <vt:lpstr>Energy</vt:lpstr>
      <vt:lpstr>GHG's</vt:lpstr>
      <vt:lpstr>Elasticities</vt:lpstr>
      <vt:lpstr>Other Graphs</vt:lpstr>
      <vt:lpstr>Larson Revenue</vt:lpstr>
      <vt:lpstr>Re-Spending</vt:lpstr>
      <vt:lpstr>Admin Cost</vt:lpstr>
      <vt:lpstr>Setting</vt:lpstr>
    </vt:vector>
  </TitlesOfParts>
  <Company>KEA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Komanoff</dc:creator>
  <cp:lastModifiedBy>Aaron Naparstek</cp:lastModifiedBy>
  <cp:lastPrinted>2014-01-25T00:02:26Z</cp:lastPrinted>
  <dcterms:created xsi:type="dcterms:W3CDTF">2007-03-27T19:18:08Z</dcterms:created>
  <dcterms:modified xsi:type="dcterms:W3CDTF">2014-02-04T21:45:16Z</dcterms:modified>
</cp:coreProperties>
</file>