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04" windowWidth="14556" windowHeight="5796" activeTab="0"/>
  </bookViews>
  <sheets>
    <sheet name="Summary" sheetId="1" r:id="rId1"/>
    <sheet name="Electricity" sheetId="2" r:id="rId2"/>
    <sheet name="Gasoline" sheetId="3" r:id="rId3"/>
    <sheet name="Aviation" sheetId="4" r:id="rId4"/>
    <sheet name="Other" sheetId="5" r:id="rId5"/>
    <sheet name="Graph_CO2" sheetId="6" r:id="rId6"/>
    <sheet name="Graph_Oil" sheetId="7" r:id="rId7"/>
    <sheet name="Emissions" sheetId="8" r:id="rId8"/>
    <sheet name="Outtakes" sheetId="9" r:id="rId9"/>
  </sheets>
  <definedNames>
    <definedName name="_xlnm.Print_Area" localSheetId="1">'Electricity'!$A$1:$AF$123</definedName>
    <definedName name="_xlnm.Print_Area" localSheetId="7">'Emissions'!$A$1:$H$20</definedName>
    <definedName name="_xlnm.Print_Area" localSheetId="2">'Gasoline'!$A$1:$AF$122</definedName>
    <definedName name="_xlnm.Print_Area" localSheetId="5">'Graph_CO2'!$A$14:$I$39</definedName>
    <definedName name="_xlnm.Print_Area" localSheetId="4">'Other'!$A$1:$AF$124</definedName>
    <definedName name="_xlnm.Print_Area" localSheetId="0">'Summary'!$A$1:$AF$101</definedName>
  </definedNames>
  <calcPr fullCalcOnLoad="1"/>
</workbook>
</file>

<file path=xl/sharedStrings.xml><?xml version="1.0" encoding="utf-8"?>
<sst xmlns="http://schemas.openxmlformats.org/spreadsheetml/2006/main" count="690" uniqueCount="302">
  <si>
    <r>
      <t xml:space="preserve">This worksheet was originally added to estimate the CO2 reductions, petroleum savings and revenues that would result from adding, </t>
    </r>
    <r>
      <rPr>
        <u val="single"/>
        <sz val="9"/>
        <rFont val="Arial"/>
        <family val="2"/>
      </rPr>
      <t>each year for 15 years</t>
    </r>
    <r>
      <rPr>
        <sz val="9"/>
        <rFont val="Arial"/>
        <family val="2"/>
      </rPr>
      <t>,</t>
    </r>
    <r>
      <rPr>
        <sz val="9"/>
        <rFont val="Arial"/>
        <family val="0"/>
      </rPr>
      <t xml:space="preserve"> a 10 cent-a-gallon tax on jet and diesel fuels, to the carbon tax and gasoline tax modeled in the rest of this spreadsheet.</t>
    </r>
  </si>
  <si>
    <r>
      <t xml:space="preserve">The calculations here were rough approximations based on prorating. None of them are currently used in the "live" versions of this spreadsheet (e.g., in the </t>
    </r>
    <r>
      <rPr>
        <b/>
        <sz val="9"/>
        <rFont val="Arial"/>
        <family val="2"/>
      </rPr>
      <t>Summary</t>
    </r>
    <r>
      <rPr>
        <sz val="9"/>
        <rFont val="Arial"/>
        <family val="2"/>
      </rPr>
      <t>).</t>
    </r>
    <r>
      <rPr>
        <sz val="9"/>
        <rFont val="Arial"/>
        <family val="0"/>
      </rPr>
      <t>.</t>
    </r>
  </si>
  <si>
    <r>
      <t xml:space="preserve">This page pertains only to the </t>
    </r>
    <r>
      <rPr>
        <b/>
        <sz val="9"/>
        <rFont val="Arial"/>
        <family val="2"/>
      </rPr>
      <t>Electricity Sector</t>
    </r>
    <r>
      <rPr>
        <sz val="9"/>
        <rFont val="Arial"/>
        <family val="0"/>
      </rPr>
      <t xml:space="preserve">. Succeeding pages show the </t>
    </r>
    <r>
      <rPr>
        <b/>
        <sz val="9"/>
        <rFont val="Arial"/>
        <family val="2"/>
      </rPr>
      <t>Gasoline</t>
    </r>
    <r>
      <rPr>
        <sz val="9"/>
        <rFont val="Arial"/>
        <family val="2"/>
      </rPr>
      <t xml:space="preserve"> 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</si>
  <si>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r>
      <t xml:space="preserve">This page pertains only to the </t>
    </r>
    <r>
      <rPr>
        <b/>
        <sz val="9"/>
        <rFont val="Arial"/>
        <family val="2"/>
      </rPr>
      <t>Gasoline Sector</t>
    </r>
    <r>
      <rPr>
        <sz val="9"/>
        <rFont val="Arial"/>
        <family val="0"/>
      </rPr>
      <t xml:space="preserve">. Other pages show the </t>
    </r>
    <r>
      <rPr>
        <b/>
        <sz val="9"/>
        <rFont val="Arial"/>
        <family val="2"/>
      </rPr>
      <t>Electricity</t>
    </r>
    <r>
      <rPr>
        <sz val="9"/>
        <rFont val="Arial"/>
        <family val="0"/>
      </rPr>
      <t xml:space="preserve"> </t>
    </r>
    <r>
      <rPr>
        <sz val="9"/>
        <rFont val="Arial"/>
        <family val="2"/>
      </rPr>
      <t xml:space="preserve">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</si>
  <si>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t>This page pertains to all CO2 emissions from fuel burning, other than those from electricity, gasoline and aviation, which are treated in preceding worksheets. Since this "sector" lumps together hundreds of disparate sectors, our treatment is less rigorous than for those sectors.</t>
  </si>
  <si>
    <r>
      <t xml:space="preserve">Data are from Carbon Tax Center spreadsheet, </t>
    </r>
    <r>
      <rPr>
        <b/>
        <sz val="9"/>
        <rFont val="Arial"/>
        <family val="2"/>
      </rPr>
      <t>Carbon Contents.xls</t>
    </r>
    <r>
      <rPr>
        <sz val="9"/>
        <rFont val="Arial"/>
        <family val="0"/>
      </rPr>
      <t>.</t>
    </r>
  </si>
  <si>
    <t>Note: We have run the model on the assumption that the 2008-2012 tax is repeated over 2013-2017, 2018-2022 and 2023-2027, making it, in effect a $200/$2.00 tax over 20 years.</t>
  </si>
  <si>
    <r>
      <t>Emissions</t>
    </r>
    <r>
      <rPr>
        <sz val="9"/>
        <rFont val="Arial"/>
        <family val="2"/>
      </rPr>
      <t xml:space="preserve"> -- A brief table presenting estimated U.S. emissions of carbon dioxide in 2005.</t>
    </r>
  </si>
  <si>
    <r>
      <t xml:space="preserve">All figures are in million metric tons of carbon dioxide (CO2) and pertain to </t>
    </r>
    <r>
      <rPr>
        <u val="single"/>
        <sz val="9"/>
        <rFont val="Arial"/>
        <family val="2"/>
      </rPr>
      <t>2005</t>
    </r>
    <r>
      <rPr>
        <sz val="9"/>
        <rFont val="Arial"/>
        <family val="0"/>
      </rPr>
      <t>.</t>
    </r>
  </si>
  <si>
    <r>
      <t xml:space="preserve">CTC assumption, derived from literature review (principally Bohi, </t>
    </r>
    <r>
      <rPr>
        <i/>
        <sz val="8"/>
        <rFont val="Arial"/>
        <family val="2"/>
      </rPr>
      <t>Analyzing Demand Behavior</t>
    </r>
    <r>
      <rPr>
        <sz val="8"/>
        <rFont val="Arial"/>
        <family val="2"/>
      </rPr>
      <t>). Value shown is rough avg for residential, commercial and industrial sectors. See CTC Web page, http://www.carbontax.org/issues/energy-demand-how-sensitive-to-price/.</t>
    </r>
  </si>
  <si>
    <t>We assume that the impact of the carbon tax on electricity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</si>
  <si>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CTC assumption.</t>
  </si>
  <si>
    <t>Note: This section has not been included in the Print Area.</t>
  </si>
  <si>
    <t>This section examines the "sources" of CO2 reductions, to determine the relative amounts associated with  the demand side vs. the supply side.</t>
  </si>
  <si>
    <t>"Other"</t>
  </si>
  <si>
    <t>See discussion in http://www.carbontax.org/issues/energy-demand-how-sensitive-to-price/ for background; However, because we have not analyzed "Other" fuels, the figure here is a guesstimate.</t>
  </si>
  <si>
    <r>
      <t xml:space="preserve">Calculated as all emissions from fossil fuel burning, in </t>
    </r>
    <r>
      <rPr>
        <b/>
        <sz val="8"/>
        <rFont val="Arial"/>
        <family val="2"/>
      </rPr>
      <t>CO2 Emissions</t>
    </r>
    <r>
      <rPr>
        <sz val="8"/>
        <rFont val="Arial"/>
        <family val="2"/>
      </rPr>
      <t xml:space="preserve"> wksheet, except for electricity and gasoline.</t>
    </r>
  </si>
  <si>
    <t>Page Down once for Results</t>
  </si>
  <si>
    <r>
      <t xml:space="preserve">Charles Komanoff, Carbon Tax Center (CTC), </t>
    </r>
    <r>
      <rPr>
        <u val="single"/>
        <sz val="10"/>
        <rFont val="Arial"/>
        <family val="2"/>
      </rPr>
      <t>www.carbontax.org</t>
    </r>
    <r>
      <rPr>
        <sz val="10"/>
        <rFont val="Arial"/>
        <family val="2"/>
      </rPr>
      <t>, kea@igc.org</t>
    </r>
  </si>
  <si>
    <t>Summary</t>
  </si>
  <si>
    <t>Reduction in CO2 in that year, relative to same year's CO2 if no carbon tax, expressed as a percent.</t>
  </si>
  <si>
    <t>Same as above, except each value is the avg reduxn from yr prior to tax start, compounded annually.</t>
  </si>
  <si>
    <t>Tax in year shown, per metric ton of carbon dioxide emitted</t>
  </si>
  <si>
    <t>CO2 emissions, w/o carbon tax, millions of metric tons</t>
  </si>
  <si>
    <t>in cents/kWh</t>
  </si>
  <si>
    <t>Electricity Consumption</t>
  </si>
  <si>
    <t xml:space="preserve">  Coal</t>
  </si>
  <si>
    <t xml:space="preserve">  Natural Gas</t>
  </si>
  <si>
    <t xml:space="preserve">  Oil</t>
  </si>
  <si>
    <t xml:space="preserve">  Net Imported Electricity</t>
  </si>
  <si>
    <t>Total</t>
  </si>
  <si>
    <t>Electricity</t>
  </si>
  <si>
    <t>Gasoline</t>
  </si>
  <si>
    <t>Assumed price-elasticity of electricity (long-run)</t>
  </si>
  <si>
    <t>Figures in this</t>
  </si>
  <si>
    <t>Pounds per metric ton</t>
  </si>
  <si>
    <t>First year in which carbon tax is effective</t>
  </si>
  <si>
    <t>Ratio, Generation to Sales</t>
  </si>
  <si>
    <t>Reduction in electricity usage, relative to ongoing trend w/o carbon tax</t>
  </si>
  <si>
    <t>% increase in average retail price of electricity over prior year</t>
  </si>
  <si>
    <t>CO2 emissions, millions of metric tons, w/o carbon tax</t>
  </si>
  <si>
    <t>CO2 emissions, millions of metric tons, with carbon tax</t>
  </si>
  <si>
    <t>Pounds of CO2 per pound of carbon</t>
  </si>
  <si>
    <t>Elec demand factor due to this yr's price increase</t>
  </si>
  <si>
    <t>Carbon Tax Revenues, $ millions</t>
  </si>
  <si>
    <t>Reduction in CO2 due to carbon tax, million metric tons, relative to moving trajectory</t>
  </si>
  <si>
    <t>2005 figure is calculated as product of net generation x CO2 per kWh,with appropriate unit conversions</t>
  </si>
  <si>
    <t>No. of years over which long-run elasticity is manifested</t>
  </si>
  <si>
    <r>
      <t>lbs Carbon per 10</t>
    </r>
    <r>
      <rPr>
        <vertAlign val="superscript"/>
        <sz val="9"/>
        <rFont val="Arial"/>
        <family val="2"/>
      </rPr>
      <t>6</t>
    </r>
    <r>
      <rPr>
        <sz val="9"/>
        <rFont val="Arial"/>
        <family val="0"/>
      </rPr>
      <t xml:space="preserve"> Btu, gasoline</t>
    </r>
  </si>
  <si>
    <t>http://www.epa.gov/ttn/chief/eiip/techreport/volume08/viii01.pdf</t>
  </si>
  <si>
    <t>Million Btu per barrel, gasoline</t>
  </si>
  <si>
    <t>Btu per gallon, gasoline</t>
  </si>
  <si>
    <t>lbs Carbon per gallon, gasoline</t>
  </si>
  <si>
    <t>lbs CO2 per gallon, gasoline</t>
  </si>
  <si>
    <t>Assumed price-elasticity (long-term)</t>
  </si>
  <si>
    <t>See discussion in http://www.carbontax.org/issues/energy-demand-how-sensitive-to-price/</t>
  </si>
  <si>
    <t>Average retail gasoline price, per gallon</t>
  </si>
  <si>
    <t>% increase in average retail price of gasoline over prior year</t>
  </si>
  <si>
    <t>Gasoline usage, million gallons, w/o carbon tax</t>
  </si>
  <si>
    <t>CO2 emissions, lb / gallon</t>
  </si>
  <si>
    <t>Gasoline demand factor due to this yr's price increase</t>
  </si>
  <si>
    <t>CTC guesstimate, set at less than that of gasoline, to reflect prominence of natural gas in "Other" sector.</t>
  </si>
  <si>
    <t>CO2 emissions from "Other" sector, million metric tons, 2005</t>
  </si>
  <si>
    <t>Implied "Other" fuel usage, trillion Btu's, 2005</t>
  </si>
  <si>
    <r>
      <t>lbs Carbon per 10</t>
    </r>
    <r>
      <rPr>
        <vertAlign val="superscript"/>
        <sz val="9"/>
        <rFont val="Arial"/>
        <family val="2"/>
      </rPr>
      <t>6</t>
    </r>
    <r>
      <rPr>
        <sz val="9"/>
        <rFont val="Arial"/>
        <family val="0"/>
      </rPr>
      <t xml:space="preserve"> Btu, "Other" fuels</t>
    </r>
  </si>
  <si>
    <r>
      <t>lbs CO2 per 10</t>
    </r>
    <r>
      <rPr>
        <vertAlign val="superscript"/>
        <sz val="9"/>
        <rFont val="Arial"/>
        <family val="2"/>
      </rPr>
      <t>6</t>
    </r>
    <r>
      <rPr>
        <sz val="9"/>
        <rFont val="Arial"/>
        <family val="0"/>
      </rPr>
      <t xml:space="preserve"> Btu, "Other" fuels</t>
    </r>
  </si>
  <si>
    <t>CO2 emissions from "Other" sector, billion pounds, 2005</t>
  </si>
  <si>
    <t>"Other" fuel usage, trillion Btu's, w/o carbon tax</t>
  </si>
  <si>
    <t>Tax per gallon of gasoline</t>
  </si>
  <si>
    <t>Tax per million btu of fuel</t>
  </si>
  <si>
    <t>Average user price of "other" fuel, per million Btu</t>
  </si>
  <si>
    <t>(base price is CTC guesstimate)</t>
  </si>
  <si>
    <t>% increase in average retail price of "Other" fuels over prior year</t>
  </si>
  <si>
    <t>Reduction in gasoline usage, relative to ongoing trend w/o carbon tax</t>
  </si>
  <si>
    <t>CO2 emissions, lb / million Btu, w/ carbon tax</t>
  </si>
  <si>
    <t>CO2 emissions, millions of metric tons, without carbon tax</t>
  </si>
  <si>
    <t>Analysis</t>
  </si>
  <si>
    <t>Electricity sales w/o carbon tax</t>
  </si>
  <si>
    <t>Electricity sales w carbon tax</t>
  </si>
  <si>
    <t>Year chosen for snapshot:</t>
  </si>
  <si>
    <t>Emission rate (CO2 per kWh) w/o carbon tax</t>
  </si>
  <si>
    <t>Total CO2 emissions w/o carbon tax</t>
  </si>
  <si>
    <t>Emission rate (CO2 per kWh) w/ carbon tax</t>
  </si>
  <si>
    <t>Total CO2 emissions w/ carbon tax</t>
  </si>
  <si>
    <t>These entries are shown as a check, to ensure that the ratio here is the product of the two prior ones.</t>
  </si>
  <si>
    <t xml:space="preserve">Ratio of "demand" shrinkage factor to </t>
  </si>
  <si>
    <t>"emissions rate" shrinkage factor:</t>
  </si>
  <si>
    <t xml:space="preserve"> Share of total reduction attributable to demand</t>
  </si>
  <si>
    <t xml:space="preserve"> Share of total reduxn attributable to emission rate</t>
  </si>
  <si>
    <t>Gasoline sales w/o carbon tax</t>
  </si>
  <si>
    <t>Gasoline sales w carbon tax</t>
  </si>
  <si>
    <t>Other fuel sales w/o carbon tax</t>
  </si>
  <si>
    <t>Other fuel sales w carbon tax</t>
  </si>
  <si>
    <t>Each increment equates to this many cents per gallon of gasoline:</t>
  </si>
  <si>
    <t>Rates after 2007 are assumed same as 2007 except for carbon tax, which increments at a declining rate due to the assumed reduction in the carbon intensity of electricity resulting from the carbon tax.</t>
  </si>
  <si>
    <t>Figure decreases over time because generators seeking to minimize tax incidence will reduce carbon-intensity of electricity generation (see below).</t>
  </si>
  <si>
    <t>column apply</t>
  </si>
  <si>
    <t>either to 2005</t>
  </si>
  <si>
    <t xml:space="preserve">Assumed price-elasticity of demand for gasoline (long-run) </t>
  </si>
  <si>
    <t>Effective price-elasticity in this column's year, for tax enacted in:</t>
  </si>
  <si>
    <t>Note to reader: The rows directly below are derived through a set of calculations involving the rows further below.</t>
  </si>
  <si>
    <t>Reduxn in per-kWh CO2 rate from each yr's C tax @ price shown:</t>
  </si>
  <si>
    <t>CTC guesstimate, intended to reflect increased penetration of biofuels, hydrogen, etc. as gasoline grows more costly. Ideally, this would be modeled with time lag. Note that this reduction is assumed to persist despite eventual leveling of carbon tax.</t>
  </si>
  <si>
    <t>Reduxn in per-btu emission rate due to each yr's C tax</t>
  </si>
  <si>
    <t>(calculated using the 2007-average carbon content of gasoline)</t>
  </si>
  <si>
    <r>
      <t xml:space="preserve">Line loss % is from eGrid, according to a citation (FN 34 in Table A-6) of the Center for Climate Strategies report referenced in the </t>
    </r>
    <r>
      <rPr>
        <b/>
        <sz val="8"/>
        <rFont val="Arial"/>
        <family val="0"/>
      </rPr>
      <t>C Emissions</t>
    </r>
    <r>
      <rPr>
        <sz val="8"/>
        <rFont val="Arial"/>
        <family val="0"/>
      </rPr>
      <t xml:space="preserve"> worksheet.</t>
    </r>
  </si>
  <si>
    <t>Assumed growth rate to 2007</t>
  </si>
  <si>
    <t>Assumed growth rate from 2007, w/o carbon tax</t>
  </si>
  <si>
    <t>CO2 emissions, lb / kWh, w/o carbon tax</t>
  </si>
  <si>
    <t>Annual decrease rate in CO2 emissions, lb/kWh, w/o carbon tax</t>
  </si>
  <si>
    <t>vs. in 2004:</t>
  </si>
  <si>
    <t>CO2 emissions, lb / kWh, w/ carbon tax</t>
  </si>
  <si>
    <r>
      <t xml:space="preserve">Carbon emission charge per kWh </t>
    </r>
    <r>
      <rPr>
        <u val="single"/>
        <sz val="9"/>
        <rFont val="Arial"/>
        <family val="2"/>
      </rPr>
      <t>generated</t>
    </r>
    <r>
      <rPr>
        <sz val="9"/>
        <rFont val="Arial"/>
        <family val="0"/>
      </rPr>
      <t>, cents/kWh (w/ carbon tax)</t>
    </r>
  </si>
  <si>
    <r>
      <t xml:space="preserve">Carbon charge per kWh </t>
    </r>
    <r>
      <rPr>
        <u val="single"/>
        <sz val="9"/>
        <rFont val="Arial"/>
        <family val="2"/>
      </rPr>
      <t>sold</t>
    </r>
  </si>
  <si>
    <t>Reduxn in per-gallon CO2 rate from each yr's C tax @ price shown:</t>
  </si>
  <si>
    <t>Emission rate (CO2 per gallon) w/o carbon tax</t>
  </si>
  <si>
    <t>Emission rate (CO2 per gallon) w/ carbon tax</t>
  </si>
  <si>
    <t>Emission rate (CO2 per btu) w/o carbon tax</t>
  </si>
  <si>
    <t>Emission rate (CO2 per btu) w/ carbon tax</t>
  </si>
  <si>
    <t xml:space="preserve">  from Electricity</t>
  </si>
  <si>
    <t xml:space="preserve">  from Gasoline</t>
  </si>
  <si>
    <t xml:space="preserve">  from "Other"</t>
  </si>
  <si>
    <t>Note: Users of this spreadsheet may wish to substitute an "official" series of future gasoline sales for this one.</t>
  </si>
  <si>
    <t>Note: Users of this spreadsheet may wish to substitute an "official" series of future sales for this one.</t>
  </si>
  <si>
    <t>CTC guesstimate, intended to reflect increased penetration of biofuels, hydrogen, etc. as conventional fuels grow more costly.</t>
  </si>
  <si>
    <t>"Other" fuel demand factor due to this yr's price increase</t>
  </si>
  <si>
    <t>Reduction in "other" fuel usage, relative to ongoing trend w/o carbon tax</t>
  </si>
  <si>
    <t>CO2 emissions, with no carbon tax</t>
  </si>
  <si>
    <t xml:space="preserve"> ¢/gal</t>
  </si>
  <si>
    <t xml:space="preserve">  Is year shown at top of column equal to or greater than the tax-start year?</t>
  </si>
  <si>
    <t>This  year</t>
  </si>
  <si>
    <t>is "hard-</t>
  </si>
  <si>
    <t>wired" to</t>
  </si>
  <si>
    <t>This and</t>
  </si>
  <si>
    <t>later years</t>
  </si>
  <si>
    <t>pivot off</t>
  </si>
  <si>
    <t>first tax yr</t>
  </si>
  <si>
    <t>Tax year, number</t>
  </si>
  <si>
    <t xml:space="preserve">  Is year shown at top of column greater than the last tax-increment year?</t>
  </si>
  <si>
    <t xml:space="preserve">First year in which tax increment is applied </t>
  </si>
  <si>
    <t xml:space="preserve">Last year in which tax increment is applied </t>
  </si>
  <si>
    <t>NO</t>
  </si>
  <si>
    <t>equal 2007</t>
  </si>
  <si>
    <t>or throughout</t>
  </si>
  <si>
    <t>the analysis.</t>
  </si>
  <si>
    <r>
      <t xml:space="preserve">Parameters that pivot directly off assumptions in </t>
    </r>
    <r>
      <rPr>
        <b/>
        <sz val="9"/>
        <color indexed="48"/>
        <rFont val="Arial"/>
        <family val="0"/>
      </rPr>
      <t>Summary</t>
    </r>
    <r>
      <rPr>
        <sz val="9"/>
        <color indexed="48"/>
        <rFont val="Arial"/>
        <family val="0"/>
      </rPr>
      <t xml:space="preserve"> worksheet are shown in blue.</t>
    </r>
  </si>
  <si>
    <t>Key parameters that the user may specify here (in this worksheet) are shown in magenta.</t>
  </si>
  <si>
    <t>Product of two earlier ratios, above</t>
  </si>
  <si>
    <t>Ratio (due to carbon tax)</t>
  </si>
  <si>
    <t>Summary of Results</t>
  </si>
  <si>
    <t>CO2 emissions, millions of metric tons, with carbon tax incremented at level inputted above</t>
  </si>
  <si>
    <t>Reduction in CO2 due to that carbon tax, relative to moving trajectory, million metric tons</t>
  </si>
  <si>
    <t>Some notes about the organization of this spreadsheet.</t>
  </si>
  <si>
    <t>(blank page)</t>
  </si>
  <si>
    <t>Note: This worksheet is pre-formatted to print to six pages.</t>
  </si>
  <si>
    <t>Same tax increment, expressed alternatively per tonne (metric ton) of CO2 emitted</t>
  </si>
  <si>
    <t>Motor Gasoline</t>
  </si>
  <si>
    <t>Other</t>
  </si>
  <si>
    <t>Average Retail Price (cents/kWh), with carbon tax</t>
  </si>
  <si>
    <t>in 2006:</t>
  </si>
  <si>
    <t>The price in 2007 is specified to be the 2006 price plus 0.5¢/kWh, to allow for two years of inflation + escalation. 2006 price is from EIA, Annual Energy Review, Table 8.10.</t>
  </si>
  <si>
    <t>U.S. electricity sales w/o carbon tax, thousands of GWh, 2006</t>
  </si>
  <si>
    <t>EIA, Annual Energy Review, Table 8.9.</t>
  </si>
  <si>
    <t>U.S. avg .electric sales growth rate 2001-2006 was 1.43%, per CK calculations in EIA Annual Energy Rev. Table 8.9.</t>
  </si>
  <si>
    <t>U.S. net electric gen. w/o carbon tax, thous. GWh, 2006</t>
  </si>
  <si>
    <t>EIA Annual Energy Rev., Table 8.2a.</t>
  </si>
  <si>
    <r>
      <t xml:space="preserve">Line losses </t>
    </r>
    <r>
      <rPr>
        <sz val="8"/>
        <rFont val="Arial"/>
        <family val="2"/>
      </rPr>
      <t>(% of generation that doesn't reach user)</t>
    </r>
  </si>
  <si>
    <t>National reduction in electricity sales due to carbon tax, gigawatt-hours</t>
  </si>
  <si>
    <t>U.S. Net Generation with carbon tax, gigawatt-hours</t>
  </si>
  <si>
    <t>U.S. electricity sales with carbon tax, gigawatt-hours</t>
  </si>
  <si>
    <t>Additional tax on gasoline, cents per gallon, annual increment</t>
  </si>
  <si>
    <t>U.S. Motor gasoline 2006, thousand barrels</t>
  </si>
  <si>
    <t>Calculation from KEA monthly spreadsheet on U.S. oil consumption; uses 2006 figure from EIA</t>
  </si>
  <si>
    <t>U.S. Motor gasoline 2006, million gallons</t>
  </si>
  <si>
    <t>National reduction in gasoline sales due to carbon tax, million gallons</t>
  </si>
  <si>
    <t>U.S. gasoline sales with carbon tax, million gallons</t>
  </si>
  <si>
    <t>National "other" fuels sales with carbon tax, trillion btu</t>
  </si>
  <si>
    <r>
      <t xml:space="preserve">Electricity </t>
    </r>
    <r>
      <rPr>
        <sz val="9"/>
        <rFont val="Arial"/>
        <family val="2"/>
      </rPr>
      <t>-- accounts for 40% of U.S. CO2 emissions, and is dominated by coal.</t>
    </r>
  </si>
  <si>
    <r>
      <t xml:space="preserve">Gasoline </t>
    </r>
    <r>
      <rPr>
        <sz val="9"/>
        <rFont val="Arial"/>
        <family val="2"/>
      </rPr>
      <t>-- is dominated by household vehicles, including so-called light trucks, but also includes some light-duty commercial/freight vehicles and recreational/lawn-care machines. 21% of nationwide emissions.</t>
    </r>
  </si>
  <si>
    <r>
      <t>"Other"</t>
    </r>
    <r>
      <rPr>
        <sz val="9"/>
        <rFont val="Arial"/>
        <family val="2"/>
      </rPr>
      <t xml:space="preserve"> -- all fossil-fuel burning other than gasoline or for electricity; yes, it's a catch-all, and ideally should be disaggregated. Accounts for just under 39% of emissions.</t>
    </r>
  </si>
  <si>
    <t>To come</t>
  </si>
  <si>
    <t>U.S. Carbon Dioxide Emissions</t>
  </si>
  <si>
    <t>All figures are for USA, in millions of metric tons of carbon dioxide per year</t>
  </si>
  <si>
    <t xml:space="preserve">  Percentages of CO2</t>
  </si>
  <si>
    <t xml:space="preserve">    from sector, 2007</t>
  </si>
  <si>
    <t>Carbon Tax Revenues, $ millions (w/o gas tax component)</t>
  </si>
  <si>
    <t>Gas Tax Revenues, $ millions (w/o carbon tax component)</t>
  </si>
  <si>
    <t>National reduction in "other" fuels sales due to carbon tax, trillion btu</t>
  </si>
  <si>
    <t>Cars (includes SUV’s, minivans, pickups)</t>
  </si>
  <si>
    <t>Gasoline, almost entirely</t>
  </si>
  <si>
    <t>Trucks (weighing &gt; 8500 lbs)</t>
  </si>
  <si>
    <t>Diesel, almost entirely</t>
  </si>
  <si>
    <t>Air travel (passenger only, i.e., no freight)</t>
  </si>
  <si>
    <t>Jet fuel</t>
  </si>
  <si>
    <t>Air freight</t>
  </si>
  <si>
    <t>Recreational Boats, ATV's, etc.</t>
  </si>
  <si>
    <t>Major Uses of Federally Taxed Petroleum Fuels for Transport in the US, 2000 (million bbl/day)</t>
  </si>
  <si>
    <t>Figures are from spreadsheet analysis by C. Komanoff in early 2002 for KEA report, "Ending The Oil Age," and are distilled from U.S. DOE data.</t>
  </si>
  <si>
    <t>The proposed legislation being modeled here would impose a 50 cent-a-gallon tax (via a 5-year phase-in) on fuels that are subject to federal taxes as listed in Paragraph (2) of section 4081(a) of the Internal Revenue Code of 1986. That paragraph applies to gasoline, aviation gasoline, diesel fuel and kerosene. That paragraph is accessible here:</t>
  </si>
  <si>
    <t>http://www.taxalmanac.org/index.php/Internal_Revenue_Code:Sec._4081._Imposition_of_tax</t>
  </si>
  <si>
    <t>Consolidation of the Above Table</t>
  </si>
  <si>
    <t>Diesel + Jet (Aviation) Fuel</t>
  </si>
  <si>
    <t>Ratio of Diesel + Jet (Aviation) to Gasoline:</t>
  </si>
  <si>
    <t xml:space="preserve">  from Gasoline (includes additional direct tax on gasoline)</t>
  </si>
  <si>
    <t xml:space="preserve">  from Gasoline (includes extra reductions in gasoline)</t>
  </si>
  <si>
    <t>tax on aviation fuel. Note that these impacts are calculated by prorating gasoline use by the relative magnitude</t>
  </si>
  <si>
    <t>of aviation fuel. In doing so, we implicitly apply gasoline's price-elasticity, even though it is likely that use of</t>
  </si>
  <si>
    <t>aviation fuel is somewhat more price-sensitive.</t>
  </si>
  <si>
    <t>Additional tax on gasoline and aviation fuel, cents per gallon, annual increment</t>
  </si>
  <si>
    <t>Aviation</t>
  </si>
  <si>
    <t>(Diesel fuel is shown above because it was included in a prior "trial-balloon" version of the 50/50 bill.)</t>
  </si>
  <si>
    <t>Jet (Aviation) Fuel alone</t>
  </si>
  <si>
    <t>Ratio of Jet (Aviation) to Gasoline:</t>
  </si>
  <si>
    <r>
      <t>Aviation</t>
    </r>
    <r>
      <rPr>
        <sz val="9"/>
        <rFont val="Arial"/>
        <family val="2"/>
      </rPr>
      <t xml:space="preserve"> -- This worksheet develops a rough estimate of the impacts of an additional 50 cent-a-gallon</t>
    </r>
  </si>
  <si>
    <t>CO2 w/ annual tax rises of $10/tonC + 10 cents/gal.</t>
  </si>
  <si>
    <t>Reduction in CO2 due to the carbon tax, calculated relative to 2008 emissions, million metric tons</t>
  </si>
  <si>
    <t>Reduction in CO2 due to carbon tax, million metric tons, relative to 2008 emissions</t>
  </si>
  <si>
    <t>Percentages of the CO2 Reductions (rel. to moving trajectory) est'd to come from petroleum fuels</t>
  </si>
  <si>
    <t>(Figure might appropriately be reduced over time to allow for penetration of biofuels.)</t>
  </si>
  <si>
    <t>Trillion Btu Reductions (relative to moving trajectory) est'd to come from petroleum fuels</t>
  </si>
  <si>
    <t>Reduction in Petroleum Consumption due to the tax, relative to moving trajectory, thousand bbl/day</t>
  </si>
  <si>
    <t>Figure is share of 2006 U.S. fossil-fuel electricity generation from petroleum, calculated from EIA, Monthly Energy Review, Table 7.2a. Electricity Net Generation: Total (All Sectors).</t>
  </si>
  <si>
    <t>CO2 emissions, lb / kWh generated w/ Fossil Fuels, 2006 avg:</t>
  </si>
  <si>
    <t>CO2 emissions, lb / kWh generated, 2006</t>
  </si>
  <si>
    <t>From CTC spreadsheet, Carbon Contents</t>
  </si>
  <si>
    <r>
      <t xml:space="preserve">  from Electricity </t>
    </r>
    <r>
      <rPr>
        <sz val="8"/>
        <rFont val="Arial"/>
        <family val="2"/>
      </rPr>
      <t xml:space="preserve">(note: assumes 10,000 Btu/kWh; see CTC spreadsheet, </t>
    </r>
    <r>
      <rPr>
        <b/>
        <sz val="8"/>
        <rFont val="Arial"/>
        <family val="2"/>
      </rPr>
      <t>Carbon Content</t>
    </r>
    <r>
      <rPr>
        <sz val="8"/>
        <rFont val="Arial"/>
        <family val="2"/>
      </rPr>
      <t>)</t>
    </r>
  </si>
  <si>
    <t>Additional Energy Constants</t>
  </si>
  <si>
    <t>Million Btu per barrel of petroleum burned for electricity generation, 2006</t>
  </si>
  <si>
    <t>http://www.eia.doe.gov/emeu/mer/append_a.html, Table A3.</t>
  </si>
  <si>
    <t>Million Btu per barrel of petroleum products</t>
  </si>
  <si>
    <t>Monthly Energy Review, May 1998, Table A3. Includes gasoline and electricity utility fuel, but is close enough proxy for "Other."</t>
  </si>
  <si>
    <r>
      <t xml:space="preserve">This page pertains only to </t>
    </r>
    <r>
      <rPr>
        <b/>
        <sz val="9"/>
        <rFont val="Arial"/>
        <family val="2"/>
      </rPr>
      <t>Aviation</t>
    </r>
    <r>
      <rPr>
        <sz val="9"/>
        <rFont val="Arial"/>
        <family val="0"/>
      </rPr>
      <t xml:space="preserve">. Other pages show the </t>
    </r>
    <r>
      <rPr>
        <b/>
        <sz val="9"/>
        <rFont val="Arial"/>
        <family val="2"/>
      </rPr>
      <t>Electricity</t>
    </r>
    <r>
      <rPr>
        <sz val="9"/>
        <rFont val="Arial"/>
        <family val="0"/>
      </rPr>
      <t xml:space="preserve"> </t>
    </r>
    <r>
      <rPr>
        <b/>
        <sz val="9"/>
        <rFont val="Arial"/>
        <family val="2"/>
      </rPr>
      <t>Sector</t>
    </r>
    <r>
      <rPr>
        <sz val="9"/>
        <rFont val="Arial"/>
        <family val="2"/>
      </rPr>
      <t xml:space="preserve">, </t>
    </r>
    <r>
      <rPr>
        <b/>
        <sz val="9"/>
        <rFont val="Arial"/>
        <family val="2"/>
      </rPr>
      <t xml:space="preserve">Gasoline </t>
    </r>
    <r>
      <rPr>
        <sz val="9"/>
        <rFont val="Arial"/>
        <family val="0"/>
      </rPr>
      <t xml:space="preserve">and All </t>
    </r>
    <r>
      <rPr>
        <b/>
        <sz val="9"/>
        <rFont val="Arial"/>
        <family val="2"/>
      </rPr>
      <t>Other Sectors</t>
    </r>
    <r>
      <rPr>
        <sz val="9"/>
        <rFont val="Arial"/>
        <family val="0"/>
      </rPr>
      <t xml:space="preserve"> (treated as one).</t>
    </r>
  </si>
  <si>
    <t>Million metric tons of Carbon per quadrillion Btu</t>
  </si>
  <si>
    <t>Greenhouse Gas Appendix A on emissions, http://www.eia.doe.gov/oiaf/1605/87-92rpt/appa.html, under Jet Fuel (for kerosene jet fuels, unpaginated)</t>
  </si>
  <si>
    <t>same as above</t>
  </si>
  <si>
    <t>Million Btu per barrel, jet fuel</t>
  </si>
  <si>
    <t>lbs Carbon per gallon, jet fuel</t>
  </si>
  <si>
    <t>lbs CO2 per gallon, jet fuel</t>
  </si>
  <si>
    <t>Additional tax on jet fuel, cents per gallon, annual increment</t>
  </si>
  <si>
    <t>U.S. Jet Fuel supplied, 2006, thousand barrels per day</t>
  </si>
  <si>
    <t>U.S. Jet Fuel supplied, 2006, million gallons</t>
  </si>
  <si>
    <r>
      <t xml:space="preserve">CTC guesstimate. See discussion on same row in </t>
    </r>
    <r>
      <rPr>
        <b/>
        <sz val="8"/>
        <rFont val="Arial"/>
        <family val="2"/>
      </rPr>
      <t>Gasoline</t>
    </r>
    <r>
      <rPr>
        <sz val="8"/>
        <rFont val="Arial"/>
        <family val="2"/>
      </rPr>
      <t xml:space="preserve"> worksheet. We have divided that figure by 5</t>
    </r>
    <r>
      <rPr>
        <sz val="8"/>
        <rFont val="Arial"/>
        <family val="0"/>
      </rPr>
      <t xml:space="preserve"> to reflect the higher purity required for aircraft engines.</t>
    </r>
  </si>
  <si>
    <t>Tax per gallon of jet fuel</t>
  </si>
  <si>
    <t>(2006 avg w/o taxes = $2.00, per Monthly Energy Review, Table 9.7. Refiner Prices of Petroleum Products to End Users; we have added the federal excise tax of 21.9 cents and have guesstimated an additional 10 cents for state and local levies)</t>
  </si>
  <si>
    <t>Average retail jet fuel price, per gallon, 2006</t>
  </si>
  <si>
    <t>National reduction in jet fuel sales due to carbon tax, million gallons</t>
  </si>
  <si>
    <t>U.S. jet fuel sales with carbon tax, million gallons</t>
  </si>
  <si>
    <t>Carbon Tax Revenues, $ millions (w/o jet fuel tax component)</t>
  </si>
  <si>
    <t>% increase in average retail price of jet fuel over prior year</t>
  </si>
  <si>
    <t xml:space="preserve">Assumed price-elasticity of demand for jet fuel (long-run) </t>
  </si>
  <si>
    <t>Jet fuel demand factor due to this yr's price increase</t>
  </si>
  <si>
    <t>We assume that the impact of the carbon tax on jet fuel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</si>
  <si>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We assume that the impact of the carbon tax on gasoline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</si>
  <si>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Jet Fuel usage, million gallons, w/o carbon tax</t>
  </si>
  <si>
    <t xml:space="preserve">  from Aviation</t>
  </si>
  <si>
    <r>
      <t xml:space="preserve">Assumed to be half again as great as that for gasoline, which is referenced in corresponding row in </t>
    </r>
    <r>
      <rPr>
        <b/>
        <sz val="8"/>
        <rFont val="Arial"/>
        <family val="2"/>
      </rPr>
      <t>Gasoline</t>
    </r>
    <r>
      <rPr>
        <sz val="8"/>
        <rFont val="Arial"/>
        <family val="2"/>
      </rPr>
      <t xml:space="preserve"> worksheet. This reflects fuel's higher proportion of air travel costs as well as more discretionary nature of most air travel vs. most auto travel.</t>
    </r>
  </si>
  <si>
    <r>
      <t xml:space="preserve">T h I s   r o w   k e p t   e m p t y   t o   m a I n t a I n   c o n s I s t e n c y   w I t h   </t>
    </r>
    <r>
      <rPr>
        <b/>
        <sz val="9"/>
        <rFont val="Arial"/>
        <family val="2"/>
      </rPr>
      <t>e l e c t r I c I t y,</t>
    </r>
    <r>
      <rPr>
        <sz val="9"/>
        <rFont val="Arial"/>
        <family val="2"/>
      </rPr>
      <t xml:space="preserve">  </t>
    </r>
    <r>
      <rPr>
        <b/>
        <sz val="9"/>
        <rFont val="Arial"/>
        <family val="2"/>
      </rPr>
      <t xml:space="preserve">g a s o l I n e   a n d   a v I a t I o n   </t>
    </r>
    <r>
      <rPr>
        <sz val="9"/>
        <rFont val="Arial"/>
        <family val="2"/>
      </rPr>
      <t>w o r k s h e e t s</t>
    </r>
  </si>
  <si>
    <t xml:space="preserve">  from Aviation (includes additional direct tax on jet fuel)</t>
  </si>
  <si>
    <t>Breakdown of the CO2 reductions among the four sectors</t>
  </si>
  <si>
    <t>(Same as above, except that assumed biofuel penetration is even smaller for jet fuel than for gasoline.)</t>
  </si>
  <si>
    <r>
      <t xml:space="preserve">Back-calculated as the share of "Other" which, when combined with above three percentages and their CO2 shares in </t>
    </r>
    <r>
      <rPr>
        <b/>
        <sz val="8"/>
        <rFont val="Arial"/>
        <family val="2"/>
      </rPr>
      <t>CO2 Emissions</t>
    </r>
    <r>
      <rPr>
        <sz val="8"/>
        <rFont val="Arial"/>
        <family val="2"/>
      </rPr>
      <t xml:space="preserve"> worksheet, yields 48.4% (Petroleum Products' btu share of 2006 U.S. fossil fuel consumption, per Monthly Energy Review, Table 1.3. Energy Consumption by Source). We are using CO2 as a proxy for Btu's, given petroleum's midrange carbon intensity between coal and natural gas. </t>
    </r>
  </si>
  <si>
    <r>
      <t xml:space="preserve">  from "Other" (</t>
    </r>
    <r>
      <rPr>
        <sz val="8"/>
        <rFont val="Arial"/>
        <family val="2"/>
      </rPr>
      <t>calc. uses gasoline energy and carbon factors)</t>
    </r>
  </si>
  <si>
    <t>Outtakes</t>
  </si>
  <si>
    <t>Petroleum savings, thousand barrels/day</t>
  </si>
  <si>
    <r>
      <t>Summary</t>
    </r>
    <r>
      <rPr>
        <sz val="9"/>
        <rFont val="Arial"/>
        <family val="2"/>
      </rPr>
      <t xml:space="preserve"> -- This worksheet. It prints to six pages (of which one is blank).</t>
    </r>
  </si>
  <si>
    <r>
      <t xml:space="preserve">This summary sheet combines emission projections from four worksheets: </t>
    </r>
    <r>
      <rPr>
        <b/>
        <sz val="9"/>
        <rFont val="Arial"/>
        <family val="2"/>
      </rPr>
      <t>Electricity</t>
    </r>
    <r>
      <rPr>
        <sz val="9"/>
        <rFont val="Arial"/>
        <family val="0"/>
      </rPr>
      <t xml:space="preserve">, </t>
    </r>
    <r>
      <rPr>
        <b/>
        <sz val="9"/>
        <rFont val="Arial"/>
        <family val="2"/>
      </rPr>
      <t>Gasoline</t>
    </r>
    <r>
      <rPr>
        <sz val="9"/>
        <rFont val="Arial"/>
        <family val="0"/>
      </rPr>
      <t xml:space="preserve">, </t>
    </r>
    <r>
      <rPr>
        <b/>
        <sz val="9"/>
        <rFont val="Arial"/>
        <family val="2"/>
      </rPr>
      <t>Aviation</t>
    </r>
    <r>
      <rPr>
        <sz val="9"/>
        <rFont val="Arial"/>
        <family val="0"/>
      </rPr>
      <t xml:space="preserve"> and </t>
    </r>
    <r>
      <rPr>
        <b/>
        <sz val="9"/>
        <rFont val="Arial"/>
        <family val="2"/>
      </rPr>
      <t>Other</t>
    </r>
    <r>
      <rPr>
        <sz val="9"/>
        <rFont val="Arial"/>
        <family val="0"/>
      </rPr>
      <t xml:space="preserve">. (See </t>
    </r>
    <r>
      <rPr>
        <b/>
        <sz val="9"/>
        <rFont val="Arial"/>
        <family val="2"/>
      </rPr>
      <t>Other</t>
    </r>
    <r>
      <rPr>
        <sz val="9"/>
        <rFont val="Arial"/>
        <family val="0"/>
      </rPr>
      <t xml:space="preserve"> worksheet for description of its composition.)</t>
    </r>
  </si>
  <si>
    <t>Magenta-colored cells may be entered by you, the user. ALL OTHER CELLS SHOULD BE LEFT ALONE, to avoid inadvertently altering the formulas that determine their value.</t>
  </si>
  <si>
    <t>Annual tax increment, per ton of carbon dioxide emitted (not carbon)</t>
  </si>
  <si>
    <t>Same tax increment, expressed alternatively per ton of carbon emitted</t>
  </si>
  <si>
    <t>Annual tax increment, per ton of CO2 emitted (not carbon)</t>
  </si>
  <si>
    <t>Tax in year shown, per ton of CO2 emitted</t>
  </si>
  <si>
    <t xml:space="preserve">CTC guesstimate, intended to reflect increased penetration of wind, natural gas and generation efficiencies as coal grows more costly. Ideally, would be modeled with time lag. Note that this reduction is assumed to persist despite eventual leveling of carbon tax. </t>
  </si>
  <si>
    <t>Reduxn in per-gallon CO2 emission rate per $10/ton CO2 tax</t>
  </si>
  <si>
    <t>Reduxn in per-kWh CO2 emission rate per $10/ton incrs in CO2 tax</t>
  </si>
  <si>
    <t>(Actual 2007 avg = $2.85)</t>
  </si>
  <si>
    <t>Assumed gasoline use growth rate to 2007 and beyond, w/o C tax</t>
  </si>
  <si>
    <t>Assumed jet fuel use growth rate to 2007 and beyond, w/o C tax</t>
  </si>
  <si>
    <t>CTC assumption, incorporating slight operational improvements on the 1996-2006 compound average growth rate in passenger miles of 3.25% (derived in Komanoff spreadsheet modeling/adjusting annual gasoline use data).</t>
  </si>
  <si>
    <t>Assumed "other fuels" growth rate to 2007 and beyond, w/o C tax</t>
  </si>
  <si>
    <t>Jet Fuel Tax Revenues, $ millions (w/o carbon tax component)</t>
  </si>
  <si>
    <t>Hybrid Tax Revenues, $ millions (carbon tax + jet fuel tax, combined)</t>
  </si>
  <si>
    <t>Hybrid Tax Revenues, $ millions (carbon tax + gas tax, combined)</t>
  </si>
  <si>
    <t>Hybrid Tax Revenues, $ millions (rounded to nearest hundred million; includes extra petroleum tax)</t>
  </si>
  <si>
    <t>2007 oil consumption is full-year average (total) Petroleum Products Supplied, from Monthly Energy Review, mer_data.asp-29, downloaded 8-Feb-2008.</t>
  </si>
  <si>
    <t>Post-2007 oil consumption is increased at assumed annual rate of:</t>
  </si>
  <si>
    <t>Note that we assume 1% for gasoline and 3% for jet fuel.</t>
  </si>
  <si>
    <t>Oil consumption, thousand bbl/d, w/o taxes</t>
  </si>
  <si>
    <r>
      <t xml:space="preserve">Oil consumption, thous bbl/d, w taxes in </t>
    </r>
    <r>
      <rPr>
        <b/>
        <u val="single"/>
        <sz val="9"/>
        <rFont val="Arial"/>
        <family val="2"/>
      </rPr>
      <t>Summary</t>
    </r>
  </si>
  <si>
    <t xml:space="preserve">This spreadsheet models the impacts of a federal hybrid carbon tax on fuel use, carbon emissions and </t>
  </si>
  <si>
    <r>
      <t xml:space="preserve">revenues, using a 4-sector model: </t>
    </r>
    <r>
      <rPr>
        <b/>
        <sz val="9"/>
        <rFont val="Arial"/>
        <family val="2"/>
      </rPr>
      <t>Electricity</t>
    </r>
    <r>
      <rPr>
        <sz val="9"/>
        <rFont val="Arial"/>
        <family val="2"/>
      </rPr>
      <t xml:space="preserve">, </t>
    </r>
    <r>
      <rPr>
        <b/>
        <sz val="9"/>
        <rFont val="Arial"/>
        <family val="2"/>
      </rPr>
      <t>Gasoline</t>
    </r>
    <r>
      <rPr>
        <sz val="9"/>
        <rFont val="Arial"/>
        <family val="2"/>
      </rPr>
      <t xml:space="preserve">, </t>
    </r>
    <r>
      <rPr>
        <b/>
        <sz val="9"/>
        <rFont val="Arial"/>
        <family val="2"/>
      </rPr>
      <t>Aviation</t>
    </r>
    <r>
      <rPr>
        <sz val="9"/>
        <rFont val="Arial"/>
        <family val="2"/>
      </rPr>
      <t xml:space="preserve">, and </t>
    </r>
    <r>
      <rPr>
        <b/>
        <sz val="9"/>
        <rFont val="Arial"/>
        <family val="2"/>
      </rPr>
      <t>Other</t>
    </r>
    <r>
      <rPr>
        <sz val="9"/>
        <rFont val="Arial"/>
        <family val="2"/>
      </rPr>
      <t>.</t>
    </r>
  </si>
  <si>
    <t>It is intended to provide “rough but reasonable” estimates of future reductions in U.S. carbon dioxide emissions that would result from implementing a "hybrid carbon tax" that overlaid a per-gallon tax on gasoline and aviation fuel atop a "straight" carbon tax on the carbon contents of coal, oil and natural gas.</t>
  </si>
  <si>
    <t>The user can modify/select the levels of both taxes below.</t>
  </si>
  <si>
    <r>
      <t>Graph_CO2</t>
    </r>
    <r>
      <rPr>
        <sz val="9"/>
        <rFont val="Arial"/>
        <family val="2"/>
      </rPr>
      <t xml:space="preserve"> charts annual CO2 emissions with and without the assumed tax(es).</t>
    </r>
  </si>
  <si>
    <r>
      <t>Graph_Oil</t>
    </r>
    <r>
      <rPr>
        <sz val="9"/>
        <rFont val="Arial"/>
        <family val="2"/>
      </rPr>
      <t xml:space="preserve"> charts petroleum usage with and without the assumed tax(es).</t>
    </r>
  </si>
  <si>
    <r>
      <t xml:space="preserve">There are 8 active worksheets, including this one. (A ninth, </t>
    </r>
    <r>
      <rPr>
        <b/>
        <sz val="9"/>
        <rFont val="Arial"/>
        <family val="2"/>
      </rPr>
      <t>Outtakes</t>
    </r>
    <r>
      <rPr>
        <sz val="9"/>
        <rFont val="Arial"/>
        <family val="2"/>
      </rPr>
      <t>, is vestigial.)</t>
    </r>
  </si>
  <si>
    <t>Emissions are expressed in CO2 (rather than carbon) and, for the most part, in metric terms. The carbon tax rate is expressed in CO2 and in British units of tons, not metric tons. (Please let us know if you would prefer metric terms and carbon rather than CO2.)</t>
  </si>
  <si>
    <t>All figures are for USA, in thousands of barrels of petroleum products supplied per day.</t>
  </si>
  <si>
    <t>Graph_Oil</t>
  </si>
  <si>
    <t>Graph_CO2</t>
  </si>
  <si>
    <t>HYBRID CARBON TAX _ 4-Sector Model for USA</t>
  </si>
  <si>
    <t>Sept. 25, 2007, modified Feb. 6-15, 2008</t>
  </si>
  <si>
    <r>
      <t xml:space="preserve">Note: Cell in preceding row is formulated as the greater of (i) value entered in </t>
    </r>
    <r>
      <rPr>
        <b/>
        <sz val="8"/>
        <rFont val="Arial"/>
        <family val="2"/>
      </rPr>
      <t>Summary</t>
    </r>
    <r>
      <rPr>
        <sz val="8"/>
        <rFont val="Arial"/>
        <family val="2"/>
      </rPr>
      <t>, and (ii) 0.001, to allow carbon tax rate to be set to zero; otherwise, zero would appear in denominator of some cells.</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</si>
</sst>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_(* #,##0_);_(* \(#,##0\);_(* &quot;-&quot;??_);_(@_)"/>
    <numFmt numFmtId="171" formatCode="0.000000"/>
    <numFmt numFmtId="172" formatCode="0.00000"/>
    <numFmt numFmtId="173" formatCode="0.0000"/>
    <numFmt numFmtId="174" formatCode="0.000"/>
    <numFmt numFmtId="175" formatCode="_(* #,##0.000_);_(* \(#,##0.000\);_(* &quot;-&quot;???_);_(@_)"/>
    <numFmt numFmtId="176" formatCode="_(* #,##0.0_);_(* \(#,##0.0\);_(* &quot;-&quot;??_);_(@_)"/>
    <numFmt numFmtId="177" formatCode="_(* #,##0.0_);_(* \(#,##0.0\);_(* &quot;-&quot;?_);_(@_)"/>
    <numFmt numFmtId="178" formatCode="0.0"/>
    <numFmt numFmtId="179" formatCode="0.0%"/>
    <numFmt numFmtId="180" formatCode="#,##0.0"/>
    <numFmt numFmtId="181" formatCode="_(&quot;$&quot;* #,##0.000_);_(&quot;$&quot;* \(#,##0.000\);_(&quot;$&quot;* &quot;-&quot;??_);_(@_)"/>
    <numFmt numFmtId="182" formatCode="_(&quot;$&quot;* #,##0.0000_);_(&quot;$&quot;* \(#,##0.0000\);_(&quot;$&quot;* &quot;-&quot;??_);_(@_)"/>
    <numFmt numFmtId="183" formatCode="0.0000000000000000%"/>
    <numFmt numFmtId="184" formatCode="0.000000000000000%"/>
    <numFmt numFmtId="185" formatCode="_(* #,##0.000_);_(* \(#,##0.000\);_(* &quot;-&quot;??_);_(@_)"/>
    <numFmt numFmtId="186" formatCode="0.00000000"/>
    <numFmt numFmtId="187" formatCode="0.0000000"/>
    <numFmt numFmtId="188" formatCode="0.00000000000000000%"/>
    <numFmt numFmtId="189" formatCode="_(&quot;$&quot;* #,##0.0_);_(&quot;$&quot;* \(#,##0.0\);_(&quot;$&quot;* &quot;-&quot;?_);_(@_)"/>
    <numFmt numFmtId="190" formatCode="&quot;$&quot;#,##0.00"/>
    <numFmt numFmtId="191" formatCode="_(&quot;$&quot;* #,##0.0_);_(&quot;$&quot;* \(#,##0.0\);_(&quot;$&quot;* &quot;-&quot;_);_(@_)"/>
    <numFmt numFmtId="192" formatCode="_(* #,##0.00_);_(* \(#,##0.00\);_(* &quot;-&quot;?_);_(@_)"/>
    <numFmt numFmtId="193" formatCode="_(&quot;$&quot;* #,##0.000_);_(&quot;$&quot;* \(#,##0.000\);_(&quot;$&quot;* &quot;-&quot;???_);_(@_)"/>
    <numFmt numFmtId="194" formatCode="0_);\(0\)"/>
    <numFmt numFmtId="195" formatCode="0.000%"/>
  </numFmts>
  <fonts count="26">
    <font>
      <sz val="9"/>
      <name val="Arial"/>
      <family val="0"/>
    </font>
    <font>
      <b/>
      <sz val="10"/>
      <name val="Arial"/>
      <family val="2"/>
    </font>
    <font>
      <sz val="8"/>
      <name val="Arial"/>
      <family val="0"/>
    </font>
    <font>
      <u val="single"/>
      <sz val="9"/>
      <color indexed="12"/>
      <name val="Arial"/>
      <family val="0"/>
    </font>
    <font>
      <b/>
      <sz val="9"/>
      <name val="Arial"/>
      <family val="2"/>
    </font>
    <font>
      <b/>
      <sz val="8"/>
      <name val="Arial"/>
      <family val="2"/>
    </font>
    <font>
      <i/>
      <sz val="8"/>
      <name val="Arial"/>
      <family val="2"/>
    </font>
    <font>
      <vertAlign val="superscript"/>
      <sz val="9"/>
      <name val="Arial"/>
      <family val="2"/>
    </font>
    <font>
      <sz val="10"/>
      <name val="Arial"/>
      <family val="2"/>
    </font>
    <font>
      <u val="single"/>
      <sz val="9"/>
      <name val="Arial"/>
      <family val="2"/>
    </font>
    <font>
      <b/>
      <sz val="20"/>
      <name val="Arial"/>
      <family val="2"/>
    </font>
    <font>
      <sz val="9.75"/>
      <name val="Arial"/>
      <family val="0"/>
    </font>
    <font>
      <sz val="12"/>
      <name val="Arial"/>
      <family val="0"/>
    </font>
    <font>
      <b/>
      <sz val="12"/>
      <name val="Arial"/>
      <family val="0"/>
    </font>
    <font>
      <sz val="9"/>
      <color indexed="48"/>
      <name val="Arial"/>
      <family val="0"/>
    </font>
    <font>
      <b/>
      <sz val="8"/>
      <color indexed="48"/>
      <name val="Arial"/>
      <family val="2"/>
    </font>
    <font>
      <b/>
      <sz val="9"/>
      <color indexed="48"/>
      <name val="Arial"/>
      <family val="0"/>
    </font>
    <font>
      <sz val="9"/>
      <color indexed="14"/>
      <name val="Arial"/>
      <family val="0"/>
    </font>
    <font>
      <u val="single"/>
      <sz val="9"/>
      <color indexed="36"/>
      <name val="Arial"/>
      <family val="0"/>
    </font>
    <font>
      <b/>
      <sz val="11"/>
      <name val="Arial"/>
      <family val="2"/>
    </font>
    <font>
      <b/>
      <sz val="9"/>
      <color indexed="14"/>
      <name val="Arial"/>
      <family val="2"/>
    </font>
    <font>
      <sz val="9"/>
      <color indexed="12"/>
      <name val="Arial"/>
      <family val="0"/>
    </font>
    <font>
      <u val="single"/>
      <sz val="10"/>
      <name val="Arial"/>
      <family val="2"/>
    </font>
    <font>
      <b/>
      <i/>
      <sz val="9"/>
      <name val="Arial"/>
      <family val="2"/>
    </font>
    <font>
      <b/>
      <sz val="20.25"/>
      <name val="Arial"/>
      <family val="2"/>
    </font>
    <font>
      <b/>
      <u val="single"/>
      <sz val="9"/>
      <name val="Arial"/>
      <family val="2"/>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165" fontId="0" fillId="0" borderId="0" xfId="17" applyNumberFormat="1" applyAlignment="1">
      <alignment/>
    </xf>
    <xf numFmtId="0" fontId="2" fillId="0" borderId="0" xfId="0" applyFont="1" applyAlignment="1">
      <alignment/>
    </xf>
    <xf numFmtId="176" fontId="0" fillId="0" borderId="0" xfId="0" applyNumberFormat="1" applyAlignment="1">
      <alignment/>
    </xf>
    <xf numFmtId="9" fontId="0" fillId="0" borderId="0" xfId="0" applyNumberFormat="1" applyAlignment="1">
      <alignment/>
    </xf>
    <xf numFmtId="9" fontId="0" fillId="0" borderId="0" xfId="21" applyAlignment="1">
      <alignment/>
    </xf>
    <xf numFmtId="2" fontId="0" fillId="0" borderId="0" xfId="0" applyNumberFormat="1" applyAlignment="1">
      <alignment/>
    </xf>
    <xf numFmtId="178" fontId="0" fillId="0" borderId="0" xfId="0" applyNumberFormat="1" applyAlignment="1">
      <alignment/>
    </xf>
    <xf numFmtId="0" fontId="4" fillId="0" borderId="0" xfId="0" applyFont="1" applyAlignment="1">
      <alignment/>
    </xf>
    <xf numFmtId="178" fontId="4" fillId="0" borderId="0" xfId="0" applyNumberFormat="1" applyFont="1" applyAlignment="1">
      <alignment/>
    </xf>
    <xf numFmtId="0" fontId="0" fillId="0" borderId="0" xfId="0" applyAlignment="1">
      <alignment horizontal="left" indent="1"/>
    </xf>
    <xf numFmtId="9" fontId="4" fillId="0" borderId="0" xfId="21" applyFont="1" applyAlignment="1">
      <alignment/>
    </xf>
    <xf numFmtId="0" fontId="5" fillId="0" borderId="0" xfId="0" applyFont="1" applyAlignment="1">
      <alignment horizontal="right"/>
    </xf>
    <xf numFmtId="0" fontId="5" fillId="0" borderId="0" xfId="0" applyFont="1" applyAlignment="1">
      <alignment/>
    </xf>
    <xf numFmtId="0" fontId="0" fillId="0" borderId="0" xfId="0" applyFont="1" applyAlignment="1">
      <alignment/>
    </xf>
    <xf numFmtId="179" fontId="0" fillId="0" borderId="0" xfId="21" applyNumberFormat="1" applyAlignment="1">
      <alignment/>
    </xf>
    <xf numFmtId="179" fontId="0" fillId="0" borderId="0" xfId="0" applyNumberFormat="1" applyAlignment="1">
      <alignment/>
    </xf>
    <xf numFmtId="165" fontId="0" fillId="0" borderId="0" xfId="0" applyNumberFormat="1" applyAlignment="1">
      <alignment/>
    </xf>
    <xf numFmtId="176" fontId="0" fillId="0" borderId="0" xfId="15" applyNumberFormat="1" applyFont="1" applyAlignment="1">
      <alignment/>
    </xf>
    <xf numFmtId="170" fontId="0" fillId="0" borderId="0" xfId="15" applyNumberFormat="1" applyFont="1" applyAlignment="1">
      <alignment/>
    </xf>
    <xf numFmtId="180" fontId="0" fillId="0" borderId="0" xfId="0" applyNumberFormat="1" applyAlignment="1">
      <alignment/>
    </xf>
    <xf numFmtId="44" fontId="0" fillId="0" borderId="0" xfId="17" applyAlignment="1">
      <alignment/>
    </xf>
    <xf numFmtId="43" fontId="0" fillId="0" borderId="0" xfId="15" applyNumberFormat="1" applyFont="1" applyAlignment="1">
      <alignment/>
    </xf>
    <xf numFmtId="43" fontId="0" fillId="0" borderId="0" xfId="0" applyNumberFormat="1" applyAlignment="1">
      <alignment/>
    </xf>
    <xf numFmtId="170" fontId="0" fillId="0" borderId="0" xfId="15" applyNumberFormat="1" applyAlignment="1">
      <alignment/>
    </xf>
    <xf numFmtId="174" fontId="0" fillId="0" borderId="0" xfId="0" applyNumberFormat="1" applyAlignment="1">
      <alignment/>
    </xf>
    <xf numFmtId="180" fontId="4" fillId="0" borderId="0" xfId="0" applyNumberFormat="1" applyFont="1" applyAlignment="1">
      <alignment/>
    </xf>
    <xf numFmtId="170" fontId="4" fillId="0" borderId="0" xfId="0" applyNumberFormat="1" applyFont="1" applyAlignment="1">
      <alignment/>
    </xf>
    <xf numFmtId="176" fontId="4" fillId="0" borderId="0" xfId="0" applyNumberFormat="1" applyFont="1" applyAlignment="1">
      <alignment/>
    </xf>
    <xf numFmtId="9" fontId="0" fillId="0" borderId="0" xfId="21" applyFont="1" applyAlignment="1">
      <alignment/>
    </xf>
    <xf numFmtId="179" fontId="0" fillId="0" borderId="0" xfId="21" applyNumberFormat="1" applyFont="1" applyAlignment="1">
      <alignment/>
    </xf>
    <xf numFmtId="9" fontId="2" fillId="0" borderId="0" xfId="21" applyFont="1" applyAlignment="1">
      <alignment/>
    </xf>
    <xf numFmtId="0" fontId="0" fillId="0" borderId="1" xfId="0" applyBorder="1" applyAlignment="1">
      <alignment/>
    </xf>
    <xf numFmtId="0" fontId="2" fillId="0" borderId="0" xfId="0" applyFont="1" applyAlignment="1">
      <alignment/>
    </xf>
    <xf numFmtId="43" fontId="4" fillId="0" borderId="0" xfId="0" applyNumberFormat="1" applyFont="1" applyAlignment="1">
      <alignment/>
    </xf>
    <xf numFmtId="44" fontId="0" fillId="0" borderId="0" xfId="0" applyNumberFormat="1" applyAlignment="1">
      <alignment/>
    </xf>
    <xf numFmtId="0" fontId="0" fillId="0" borderId="0" xfId="0" applyAlignment="1" quotePrefix="1">
      <alignment/>
    </xf>
    <xf numFmtId="179" fontId="4" fillId="0" borderId="0" xfId="21" applyNumberFormat="1" applyFont="1" applyAlignment="1">
      <alignment/>
    </xf>
    <xf numFmtId="165" fontId="0" fillId="0" borderId="0" xfId="17" applyNumberFormat="1" applyAlignment="1">
      <alignment/>
    </xf>
    <xf numFmtId="170" fontId="0" fillId="0" borderId="0" xfId="15" applyNumberFormat="1" applyAlignment="1">
      <alignment/>
    </xf>
    <xf numFmtId="9" fontId="0" fillId="0" borderId="0" xfId="21" applyAlignment="1">
      <alignment/>
    </xf>
    <xf numFmtId="179" fontId="0" fillId="0" borderId="0" xfId="21" applyNumberFormat="1" applyAlignment="1">
      <alignment/>
    </xf>
    <xf numFmtId="9" fontId="0" fillId="0" borderId="0" xfId="21" applyFont="1" applyAlignment="1">
      <alignment/>
    </xf>
    <xf numFmtId="179" fontId="0" fillId="0" borderId="0" xfId="21" applyNumberFormat="1" applyFont="1" applyAlignment="1">
      <alignment/>
    </xf>
    <xf numFmtId="0" fontId="0" fillId="0" borderId="0" xfId="0" applyFont="1" applyAlignment="1">
      <alignment/>
    </xf>
    <xf numFmtId="44" fontId="0" fillId="0" borderId="0" xfId="17" applyAlignment="1">
      <alignment/>
    </xf>
    <xf numFmtId="180" fontId="0" fillId="0" borderId="0" xfId="0" applyNumberFormat="1" applyFont="1" applyAlignment="1">
      <alignment/>
    </xf>
    <xf numFmtId="170" fontId="0" fillId="0" borderId="0" xfId="0" applyNumberFormat="1" applyFont="1" applyAlignment="1">
      <alignment/>
    </xf>
    <xf numFmtId="176" fontId="0" fillId="0" borderId="0" xfId="0" applyNumberFormat="1" applyFont="1" applyAlignment="1">
      <alignment/>
    </xf>
    <xf numFmtId="9" fontId="0" fillId="0" borderId="0" xfId="21" applyFont="1" applyAlignment="1">
      <alignment/>
    </xf>
    <xf numFmtId="165" fontId="4" fillId="0" borderId="0" xfId="17" applyNumberFormat="1" applyFont="1" applyAlignment="1">
      <alignment/>
    </xf>
    <xf numFmtId="170" fontId="0" fillId="0" borderId="0" xfId="0" applyNumberFormat="1" applyAlignment="1">
      <alignment/>
    </xf>
    <xf numFmtId="43" fontId="5" fillId="0" borderId="0" xfId="0" applyNumberFormat="1" applyFont="1" applyAlignment="1">
      <alignment/>
    </xf>
    <xf numFmtId="0" fontId="4" fillId="0" borderId="2" xfId="0" applyFont="1" applyBorder="1" applyAlignment="1">
      <alignment/>
    </xf>
    <xf numFmtId="0" fontId="4" fillId="0" borderId="3" xfId="0" applyFont="1" applyBorder="1" applyAlignment="1">
      <alignment/>
    </xf>
    <xf numFmtId="9" fontId="4" fillId="0" borderId="4" xfId="21" applyFont="1" applyBorder="1" applyAlignment="1">
      <alignment/>
    </xf>
    <xf numFmtId="0" fontId="4" fillId="0" borderId="5" xfId="0" applyFont="1" applyBorder="1" applyAlignment="1">
      <alignment/>
    </xf>
    <xf numFmtId="0" fontId="4" fillId="0" borderId="6" xfId="0" applyFont="1" applyBorder="1" applyAlignment="1">
      <alignment/>
    </xf>
    <xf numFmtId="9" fontId="4" fillId="0" borderId="7" xfId="0" applyNumberFormat="1" applyFont="1" applyBorder="1" applyAlignment="1">
      <alignment/>
    </xf>
    <xf numFmtId="10" fontId="0" fillId="0" borderId="0" xfId="0" applyNumberFormat="1" applyAlignment="1">
      <alignment/>
    </xf>
    <xf numFmtId="2" fontId="0" fillId="0" borderId="0" xfId="17" applyNumberFormat="1" applyAlignment="1">
      <alignment/>
    </xf>
    <xf numFmtId="0" fontId="0" fillId="0" borderId="0" xfId="0" applyAlignment="1">
      <alignment horizontal="center"/>
    </xf>
    <xf numFmtId="0" fontId="8" fillId="0" borderId="0" xfId="0" applyFont="1" applyAlignment="1">
      <alignment/>
    </xf>
    <xf numFmtId="10" fontId="0" fillId="0" borderId="0" xfId="21" applyNumberFormat="1" applyAlignment="1">
      <alignment/>
    </xf>
    <xf numFmtId="1" fontId="0" fillId="0" borderId="0" xfId="0" applyNumberFormat="1" applyAlignment="1">
      <alignment/>
    </xf>
    <xf numFmtId="0" fontId="2"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center"/>
    </xf>
    <xf numFmtId="165" fontId="0" fillId="0" borderId="1" xfId="0" applyNumberFormat="1" applyBorder="1" applyAlignment="1">
      <alignment/>
    </xf>
    <xf numFmtId="170" fontId="0" fillId="0" borderId="1" xfId="15" applyNumberFormat="1" applyBorder="1" applyAlignment="1">
      <alignment/>
    </xf>
    <xf numFmtId="176" fontId="0" fillId="0" borderId="1" xfId="15" applyNumberFormat="1" applyFont="1" applyBorder="1" applyAlignment="1">
      <alignment/>
    </xf>
    <xf numFmtId="2" fontId="0" fillId="0" borderId="1" xfId="0" applyNumberFormat="1" applyBorder="1" applyAlignment="1">
      <alignment/>
    </xf>
    <xf numFmtId="43" fontId="0" fillId="0" borderId="1" xfId="0" applyNumberFormat="1" applyBorder="1" applyAlignment="1">
      <alignment/>
    </xf>
    <xf numFmtId="0" fontId="4" fillId="0" borderId="1" xfId="0" applyFont="1" applyBorder="1" applyAlignment="1">
      <alignment/>
    </xf>
    <xf numFmtId="170" fontId="4" fillId="0" borderId="1" xfId="0" applyNumberFormat="1" applyFont="1" applyBorder="1" applyAlignment="1">
      <alignment/>
    </xf>
    <xf numFmtId="176" fontId="4" fillId="0" borderId="1" xfId="0" applyNumberFormat="1" applyFont="1" applyBorder="1" applyAlignment="1">
      <alignment/>
    </xf>
    <xf numFmtId="0" fontId="2" fillId="0" borderId="1" xfId="0" applyFont="1" applyBorder="1" applyAlignment="1">
      <alignment/>
    </xf>
    <xf numFmtId="9" fontId="0" fillId="0" borderId="1" xfId="21" applyBorder="1" applyAlignment="1">
      <alignment/>
    </xf>
    <xf numFmtId="0" fontId="5" fillId="0" borderId="1"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49" fontId="2" fillId="0" borderId="10" xfId="0" applyNumberFormat="1" applyFont="1" applyBorder="1" applyAlignment="1">
      <alignment horizontal="center"/>
    </xf>
    <xf numFmtId="0" fontId="8" fillId="0" borderId="1" xfId="0" applyFont="1" applyBorder="1" applyAlignment="1">
      <alignment/>
    </xf>
    <xf numFmtId="170" fontId="0" fillId="0" borderId="1" xfId="0" applyNumberFormat="1" applyFont="1" applyBorder="1" applyAlignment="1">
      <alignment/>
    </xf>
    <xf numFmtId="176" fontId="0" fillId="0" borderId="1" xfId="0" applyNumberFormat="1" applyFont="1" applyBorder="1" applyAlignment="1">
      <alignment/>
    </xf>
    <xf numFmtId="0" fontId="2" fillId="0" borderId="4" xfId="0" applyFont="1" applyBorder="1" applyAlignment="1">
      <alignment horizontal="center"/>
    </xf>
    <xf numFmtId="49" fontId="2" fillId="0" borderId="7" xfId="0" applyNumberFormat="1" applyFont="1" applyBorder="1" applyAlignment="1">
      <alignment horizontal="center"/>
    </xf>
    <xf numFmtId="44" fontId="0" fillId="0" borderId="1" xfId="0" applyNumberFormat="1" applyBorder="1" applyAlignment="1">
      <alignment/>
    </xf>
    <xf numFmtId="9" fontId="0" fillId="0" borderId="1" xfId="21" applyBorder="1" applyAlignment="1">
      <alignment/>
    </xf>
    <xf numFmtId="170" fontId="0" fillId="0" borderId="1" xfId="15" applyNumberFormat="1" applyBorder="1" applyAlignment="1">
      <alignment/>
    </xf>
    <xf numFmtId="178" fontId="0" fillId="0" borderId="1" xfId="0" applyNumberFormat="1" applyBorder="1" applyAlignment="1">
      <alignment/>
    </xf>
    <xf numFmtId="165" fontId="14" fillId="0" borderId="0" xfId="17" applyNumberFormat="1" applyFont="1" applyAlignment="1">
      <alignment/>
    </xf>
    <xf numFmtId="0" fontId="15" fillId="0" borderId="1" xfId="0" applyFont="1" applyBorder="1" applyAlignment="1">
      <alignment horizontal="right"/>
    </xf>
    <xf numFmtId="0" fontId="15" fillId="0" borderId="0" xfId="0" applyFont="1" applyAlignment="1">
      <alignment horizontal="right"/>
    </xf>
    <xf numFmtId="0" fontId="2" fillId="0" borderId="0" xfId="0" applyFont="1" applyFill="1" applyBorder="1" applyAlignment="1">
      <alignment horizontal="center"/>
    </xf>
    <xf numFmtId="0" fontId="2" fillId="0" borderId="10" xfId="0" applyFont="1" applyFill="1" applyBorder="1" applyAlignment="1">
      <alignment horizontal="center"/>
    </xf>
    <xf numFmtId="0" fontId="14" fillId="0" borderId="0" xfId="0" applyFont="1" applyAlignment="1">
      <alignment/>
    </xf>
    <xf numFmtId="0" fontId="17" fillId="0" borderId="0" xfId="0" applyFont="1" applyAlignment="1">
      <alignment/>
    </xf>
    <xf numFmtId="9" fontId="17" fillId="0" borderId="0" xfId="0" applyNumberFormat="1" applyFont="1" applyAlignment="1">
      <alignment/>
    </xf>
    <xf numFmtId="179" fontId="17" fillId="0" borderId="0" xfId="0" applyNumberFormat="1" applyFont="1" applyAlignment="1">
      <alignment/>
    </xf>
    <xf numFmtId="0" fontId="17" fillId="0" borderId="0" xfId="0" applyFont="1" applyAlignment="1">
      <alignment horizontal="right"/>
    </xf>
    <xf numFmtId="2" fontId="5" fillId="0" borderId="0" xfId="0" applyNumberFormat="1" applyFont="1" applyAlignment="1">
      <alignment/>
    </xf>
    <xf numFmtId="0" fontId="0" fillId="0" borderId="0" xfId="0" applyAlignment="1">
      <alignment wrapText="1"/>
    </xf>
    <xf numFmtId="0" fontId="19" fillId="0" borderId="0" xfId="0" applyFont="1" applyAlignment="1">
      <alignment/>
    </xf>
    <xf numFmtId="0" fontId="0" fillId="0" borderId="1" xfId="0" applyBorder="1" applyAlignment="1">
      <alignment wrapText="1"/>
    </xf>
    <xf numFmtId="0" fontId="20" fillId="0" borderId="0" xfId="0" applyFont="1" applyAlignment="1">
      <alignment/>
    </xf>
    <xf numFmtId="0" fontId="5" fillId="0" borderId="2" xfId="0" applyFont="1" applyBorder="1" applyAlignment="1">
      <alignment/>
    </xf>
    <xf numFmtId="0" fontId="4" fillId="0" borderId="4" xfId="0" applyFont="1" applyBorder="1" applyAlignment="1">
      <alignment/>
    </xf>
    <xf numFmtId="0" fontId="5" fillId="0" borderId="11" xfId="0" applyFont="1" applyBorder="1" applyAlignment="1">
      <alignment/>
    </xf>
    <xf numFmtId="0" fontId="0" fillId="0" borderId="1" xfId="0" applyFont="1" applyBorder="1" applyAlignment="1">
      <alignment/>
    </xf>
    <xf numFmtId="0" fontId="21" fillId="0" borderId="0" xfId="0" applyFont="1" applyAlignment="1">
      <alignment/>
    </xf>
    <xf numFmtId="170" fontId="21" fillId="0" borderId="0" xfId="15" applyNumberFormat="1" applyFont="1" applyAlignment="1">
      <alignment/>
    </xf>
    <xf numFmtId="165" fontId="21" fillId="0" borderId="1" xfId="0" applyNumberFormat="1" applyFont="1" applyBorder="1" applyAlignment="1">
      <alignment/>
    </xf>
    <xf numFmtId="44" fontId="21" fillId="0" borderId="0" xfId="17" applyFont="1" applyAlignment="1">
      <alignment/>
    </xf>
    <xf numFmtId="0" fontId="21" fillId="0" borderId="1" xfId="0" applyFont="1" applyBorder="1" applyAlignment="1">
      <alignment/>
    </xf>
    <xf numFmtId="0" fontId="8" fillId="0" borderId="0" xfId="0" applyFont="1" applyAlignment="1" quotePrefix="1">
      <alignment/>
    </xf>
    <xf numFmtId="0" fontId="0" fillId="0" borderId="1" xfId="0" applyBorder="1" applyAlignment="1">
      <alignment/>
    </xf>
    <xf numFmtId="2" fontId="2" fillId="0" borderId="1" xfId="0" applyNumberFormat="1" applyFont="1" applyBorder="1" applyAlignment="1">
      <alignment/>
    </xf>
    <xf numFmtId="165" fontId="21" fillId="0" borderId="0" xfId="17" applyNumberFormat="1" applyFont="1" applyAlignment="1">
      <alignment/>
    </xf>
    <xf numFmtId="1" fontId="2" fillId="0" borderId="0" xfId="0" applyNumberFormat="1" applyFont="1" applyAlignment="1">
      <alignment horizontal="right"/>
    </xf>
    <xf numFmtId="194" fontId="17" fillId="0" borderId="0" xfId="17" applyNumberFormat="1" applyFont="1" applyAlignment="1">
      <alignment/>
    </xf>
    <xf numFmtId="170" fontId="0" fillId="0" borderId="0" xfId="15" applyNumberFormat="1" applyFont="1" applyAlignment="1">
      <alignment/>
    </xf>
    <xf numFmtId="176" fontId="0" fillId="0" borderId="0" xfId="15" applyNumberFormat="1" applyAlignment="1">
      <alignment/>
    </xf>
    <xf numFmtId="0" fontId="8" fillId="0" borderId="11" xfId="0" applyFont="1" applyBorder="1" applyAlignment="1">
      <alignment/>
    </xf>
    <xf numFmtId="0" fontId="0" fillId="0" borderId="11" xfId="0" applyBorder="1" applyAlignment="1">
      <alignment/>
    </xf>
    <xf numFmtId="43" fontId="0" fillId="0" borderId="11" xfId="0" applyNumberFormat="1" applyBorder="1" applyAlignment="1">
      <alignment/>
    </xf>
    <xf numFmtId="0" fontId="1"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165" fontId="5" fillId="0" borderId="0" xfId="17" applyNumberFormat="1" applyFont="1" applyAlignment="1">
      <alignment/>
    </xf>
    <xf numFmtId="176" fontId="4" fillId="0" borderId="1" xfId="15" applyNumberFormat="1" applyFont="1" applyBorder="1" applyAlignment="1">
      <alignment/>
    </xf>
    <xf numFmtId="174" fontId="0" fillId="0" borderId="0" xfId="0" applyNumberFormat="1" applyFont="1" applyAlignment="1">
      <alignment/>
    </xf>
    <xf numFmtId="0" fontId="8" fillId="0" borderId="0" xfId="0" applyFont="1" applyAlignment="1">
      <alignment/>
    </xf>
    <xf numFmtId="0" fontId="0" fillId="0" borderId="0" xfId="0" applyFont="1" applyAlignment="1">
      <alignment wrapText="1"/>
    </xf>
    <xf numFmtId="0" fontId="0" fillId="0" borderId="1" xfId="0" applyFont="1" applyBorder="1" applyAlignment="1">
      <alignment wrapText="1"/>
    </xf>
    <xf numFmtId="9" fontId="0" fillId="0" borderId="1" xfId="0" applyNumberFormat="1" applyBorder="1" applyAlignment="1">
      <alignment/>
    </xf>
    <xf numFmtId="9" fontId="4" fillId="0" borderId="0" xfId="21" applyNumberFormat="1" applyFont="1" applyAlignment="1">
      <alignment/>
    </xf>
    <xf numFmtId="185" fontId="0" fillId="0" borderId="0" xfId="15" applyNumberFormat="1" applyFont="1" applyAlignment="1">
      <alignment/>
    </xf>
    <xf numFmtId="44" fontId="4" fillId="0" borderId="0" xfId="0" applyNumberFormat="1" applyFont="1" applyAlignment="1">
      <alignment/>
    </xf>
    <xf numFmtId="0" fontId="1" fillId="0" borderId="0" xfId="0" applyFont="1" applyBorder="1" applyAlignment="1">
      <alignment/>
    </xf>
    <xf numFmtId="0" fontId="8" fillId="0" borderId="0" xfId="0" applyFont="1" applyBorder="1" applyAlignment="1">
      <alignment/>
    </xf>
    <xf numFmtId="178" fontId="0" fillId="0" borderId="0" xfId="17" applyNumberFormat="1" applyAlignment="1">
      <alignment/>
    </xf>
    <xf numFmtId="44" fontId="21" fillId="0" borderId="1" xfId="0" applyNumberFormat="1" applyFont="1" applyBorder="1" applyAlignment="1">
      <alignment/>
    </xf>
    <xf numFmtId="44" fontId="14" fillId="0" borderId="0" xfId="17" applyNumberFormat="1" applyFont="1" applyAlignment="1">
      <alignment/>
    </xf>
    <xf numFmtId="0" fontId="23" fillId="0" borderId="0" xfId="0" applyFont="1" applyBorder="1" applyAlignment="1">
      <alignment/>
    </xf>
    <xf numFmtId="0" fontId="0" fillId="0" borderId="0" xfId="0" applyBorder="1" applyAlignment="1">
      <alignment/>
    </xf>
    <xf numFmtId="0" fontId="0" fillId="0" borderId="0" xfId="0" applyFont="1" applyBorder="1" applyAlignment="1">
      <alignment/>
    </xf>
    <xf numFmtId="9" fontId="4" fillId="0" borderId="4" xfId="21" applyNumberFormat="1" applyFont="1" applyBorder="1" applyAlignment="1">
      <alignment/>
    </xf>
    <xf numFmtId="179" fontId="4" fillId="0" borderId="0" xfId="0" applyNumberFormat="1" applyFont="1" applyAlignment="1">
      <alignment horizontal="center"/>
    </xf>
    <xf numFmtId="0" fontId="0" fillId="0" borderId="0" xfId="0" applyFont="1" applyAlignment="1">
      <alignment wrapText="1"/>
    </xf>
    <xf numFmtId="0" fontId="0" fillId="0" borderId="1" xfId="0" applyFont="1" applyBorder="1" applyAlignment="1">
      <alignment wrapText="1"/>
    </xf>
    <xf numFmtId="179" fontId="0" fillId="0" borderId="11" xfId="21" applyNumberFormat="1" applyFont="1" applyBorder="1" applyAlignment="1">
      <alignment horizontal="center"/>
    </xf>
    <xf numFmtId="179" fontId="0" fillId="0" borderId="1" xfId="21" applyNumberFormat="1" applyFont="1" applyBorder="1" applyAlignment="1">
      <alignment horizontal="center"/>
    </xf>
    <xf numFmtId="0" fontId="4" fillId="0" borderId="0" xfId="0" applyFont="1" applyAlignment="1">
      <alignment wrapText="1"/>
    </xf>
    <xf numFmtId="0" fontId="0" fillId="0" borderId="0" xfId="0" applyAlignment="1">
      <alignment wrapText="1"/>
    </xf>
    <xf numFmtId="0" fontId="0" fillId="0" borderId="1" xfId="0" applyBorder="1" applyAlignment="1">
      <alignment wrapText="1"/>
    </xf>
    <xf numFmtId="0" fontId="20" fillId="0" borderId="0" xfId="0" applyFont="1" applyAlignment="1">
      <alignment wrapText="1"/>
    </xf>
    <xf numFmtId="0" fontId="4" fillId="0" borderId="1" xfId="0" applyFont="1" applyBorder="1" applyAlignment="1">
      <alignment wrapText="1"/>
    </xf>
    <xf numFmtId="0" fontId="2" fillId="0" borderId="11" xfId="0" applyFont="1" applyBorder="1" applyAlignment="1">
      <alignment wrapText="1"/>
    </xf>
    <xf numFmtId="0" fontId="2" fillId="0" borderId="0" xfId="0" applyFont="1" applyAlignment="1">
      <alignment wrapText="1"/>
    </xf>
    <xf numFmtId="0" fontId="5" fillId="0" borderId="0" xfId="0" applyFont="1" applyAlignment="1">
      <alignment wrapText="1"/>
    </xf>
    <xf numFmtId="0" fontId="2" fillId="0" borderId="0" xfId="0" applyFont="1" applyAlignment="1">
      <alignment wrapText="1"/>
    </xf>
    <xf numFmtId="179" fontId="0" fillId="0" borderId="5" xfId="21" applyNumberFormat="1" applyFont="1" applyBorder="1" applyAlignment="1">
      <alignment horizontal="center"/>
    </xf>
    <xf numFmtId="179" fontId="0" fillId="0" borderId="7" xfId="21" applyNumberFormat="1" applyFont="1" applyBorder="1" applyAlignment="1">
      <alignment horizontal="center"/>
    </xf>
    <xf numFmtId="0" fontId="2" fillId="0" borderId="1" xfId="0" applyFont="1" applyBorder="1" applyAlignment="1">
      <alignment wrapText="1"/>
    </xf>
    <xf numFmtId="0" fontId="0" fillId="0" borderId="0" xfId="0" applyAlignment="1">
      <alignment horizontal="center"/>
    </xf>
    <xf numFmtId="7" fontId="17" fillId="0" borderId="0" xfId="17" applyNumberFormat="1" applyFont="1" applyAlignment="1">
      <alignment/>
    </xf>
    <xf numFmtId="7" fontId="0" fillId="0" borderId="0" xfId="17" applyNumberFormat="1" applyAlignment="1">
      <alignment/>
    </xf>
    <xf numFmtId="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Hybrid Carbon Tax: CO2 Impact
</a:t>
            </a:r>
          </a:p>
        </c:rich>
      </c:tx>
      <c:layout>
        <c:manualLayout>
          <c:xMode val="factor"/>
          <c:yMode val="factor"/>
          <c:x val="0.00325"/>
          <c:y val="0.02875"/>
        </c:manualLayout>
      </c:layout>
      <c:spPr>
        <a:noFill/>
        <a:ln>
          <a:noFill/>
        </a:ln>
      </c:spPr>
    </c:title>
    <c:plotArea>
      <c:layout>
        <c:manualLayout>
          <c:xMode val="edge"/>
          <c:yMode val="edge"/>
          <c:x val="0.103"/>
          <c:y val="0.1505"/>
          <c:w val="0.78875"/>
          <c:h val="0.822"/>
        </c:manualLayout>
      </c:layout>
      <c:lineChart>
        <c:grouping val="standard"/>
        <c:varyColors val="0"/>
        <c:ser>
          <c:idx val="0"/>
          <c:order val="0"/>
          <c:tx>
            <c:v>No Carbon Tax, No Petroleum Tax</c:v>
          </c:tx>
          <c:extLst>
            <c:ext xmlns:c14="http://schemas.microsoft.com/office/drawing/2007/8/2/chart" uri="{6F2FDCE9-48DA-4B69-8628-5D25D57E5C99}">
              <c14:invertSolidFillFmt>
                <c14:spPr>
                  <a:solidFill>
                    <a:srgbClr val="000000"/>
                  </a:solidFill>
                </c14:spPr>
              </c14:invertSolidFillFmt>
            </c:ext>
          </c:extLst>
          <c:cat>
            <c:numRef>
              <c:f>Graph_CO2!$F$6:$AE$6</c:f>
              <c:numCache/>
            </c:numRef>
          </c:cat>
          <c:val>
            <c:numRef>
              <c:f>Graph_CO2!$F$8:$AE$8</c:f>
              <c:numCache>
                <c:ptCount val="26"/>
                <c:pt idx="0">
                  <c:v>5982.046802176086</c:v>
                </c:pt>
                <c:pt idx="1">
                  <c:v>6125.906967534369</c:v>
                </c:pt>
                <c:pt idx="2">
                  <c:v>6215.285597944321</c:v>
                </c:pt>
                <c:pt idx="3">
                  <c:v>6306.059415518274</c:v>
                </c:pt>
                <c:pt idx="4">
                  <c:v>6398.252281364235</c:v>
                </c:pt>
                <c:pt idx="5">
                  <c:v>6491.888515486537</c:v>
                </c:pt>
                <c:pt idx="6">
                  <c:v>6586.992906828484</c:v>
                </c:pt>
                <c:pt idx="7">
                  <c:v>6683.590723561718</c:v>
                </c:pt>
                <c:pt idx="8">
                  <c:v>6781.707723628869</c:v>
                </c:pt>
                <c:pt idx="9">
                  <c:v>6881.370165546323</c:v>
                </c:pt>
                <c:pt idx="10">
                  <c:v>6982.604819474042</c:v>
                </c:pt>
                <c:pt idx="11">
                  <c:v>7085.438978559625</c:v>
                </c:pt>
                <c:pt idx="12">
                  <c:v>7189.900470563957</c:v>
                </c:pt>
                <c:pt idx="13">
                  <c:v>7296.017669776089</c:v>
                </c:pt>
                <c:pt idx="14">
                  <c:v>7403.819509225043</c:v>
                </c:pt>
                <c:pt idx="15">
                  <c:v>7513.335493196671</c:v>
                </c:pt>
                <c:pt idx="16">
                  <c:v>7624.595710063733</c:v>
                </c:pt>
                <c:pt idx="17">
                  <c:v>7737.630845437696</c:v>
                </c:pt>
                <c:pt idx="18">
                  <c:v>7852.472195650975</c:v>
                </c:pt>
                <c:pt idx="19">
                  <c:v>7969.151681578592</c:v>
                </c:pt>
                <c:pt idx="20">
                  <c:v>8087.701862808448</c:v>
                </c:pt>
                <c:pt idx="21">
                  <c:v>8208.155952169713</c:v>
                </c:pt>
                <c:pt idx="22">
                  <c:v>8330.547830629072</c:v>
                </c:pt>
                <c:pt idx="23">
                  <c:v>8454.912062564885</c:v>
                </c:pt>
              </c:numCache>
            </c:numRef>
          </c:val>
          <c:smooth val="0"/>
        </c:ser>
        <c:ser>
          <c:idx val="1"/>
          <c:order val="1"/>
          <c:tx>
            <c:v>Tax Levels selected in Summary worksheet</c:v>
          </c:tx>
          <c:extLst>
            <c:ext xmlns:c14="http://schemas.microsoft.com/office/drawing/2007/8/2/chart" uri="{6F2FDCE9-48DA-4B69-8628-5D25D57E5C99}">
              <c14:invertSolidFillFmt>
                <c14:spPr>
                  <a:solidFill>
                    <a:srgbClr val="000000"/>
                  </a:solidFill>
                </c14:spPr>
              </c14:invertSolidFillFmt>
            </c:ext>
          </c:extLst>
          <c:cat>
            <c:numRef>
              <c:f>Graph_CO2!$F$6:$AE$6</c:f>
              <c:numCache/>
            </c:numRef>
          </c:cat>
          <c:val>
            <c:numRef>
              <c:f>Graph_CO2!$F$9:$AE$9</c:f>
              <c:numCache>
                <c:ptCount val="26"/>
                <c:pt idx="0">
                  <c:v>5982.046802176086</c:v>
                </c:pt>
                <c:pt idx="1">
                  <c:v>5983.252228500531</c:v>
                </c:pt>
                <c:pt idx="2">
                  <c:v>5903.163263429084</c:v>
                </c:pt>
                <c:pt idx="3">
                  <c:v>5801.747469400491</c:v>
                </c:pt>
                <c:pt idx="4">
                  <c:v>5682.5993978776605</c:v>
                </c:pt>
                <c:pt idx="5">
                  <c:v>5548.8880057173865</c:v>
                </c:pt>
                <c:pt idx="6">
                  <c:v>5403.417167267061</c:v>
                </c:pt>
                <c:pt idx="7">
                  <c:v>5248.668840703847</c:v>
                </c:pt>
                <c:pt idx="8">
                  <c:v>5086.836616987433</c:v>
                </c:pt>
                <c:pt idx="9">
                  <c:v>4919.85356624338</c:v>
                </c:pt>
                <c:pt idx="10">
                  <c:v>4749.416452102046</c:v>
                </c:pt>
                <c:pt idx="11">
                  <c:v>4600.090293953242</c:v>
                </c:pt>
                <c:pt idx="12">
                  <c:v>4467.703989918013</c:v>
                </c:pt>
                <c:pt idx="13">
                  <c:v>4349.250983881219</c:v>
                </c:pt>
                <c:pt idx="14">
                  <c:v>4249.002563688665</c:v>
                </c:pt>
                <c:pt idx="15">
                  <c:v>4164.3935874640165</c:v>
                </c:pt>
                <c:pt idx="16">
                  <c:v>4093.399287699299</c:v>
                </c:pt>
                <c:pt idx="17">
                  <c:v>4034.398442433062</c:v>
                </c:pt>
                <c:pt idx="18">
                  <c:v>3986.0786460855784</c:v>
                </c:pt>
                <c:pt idx="19">
                  <c:v>3947.3686968206084</c:v>
                </c:pt>
                <c:pt idx="20">
                  <c:v>3917.389153565575</c:v>
                </c:pt>
                <c:pt idx="21">
                  <c:v>3895.415464296121</c:v>
                </c:pt>
                <c:pt idx="22">
                  <c:v>3880.850027526266</c:v>
                </c:pt>
                <c:pt idx="23">
                  <c:v>3873.2007482143545</c:v>
                </c:pt>
              </c:numCache>
            </c:numRef>
          </c:val>
          <c:smooth val="0"/>
        </c:ser>
        <c:marker val="1"/>
        <c:axId val="45392026"/>
        <c:axId val="5875051"/>
      </c:lineChart>
      <c:catAx>
        <c:axId val="45392026"/>
        <c:scaling>
          <c:orientation val="minMax"/>
        </c:scaling>
        <c:axPos val="b"/>
        <c:delete val="0"/>
        <c:numFmt formatCode="General" sourceLinked="1"/>
        <c:majorTickMark val="out"/>
        <c:minorTickMark val="none"/>
        <c:tickLblPos val="nextTo"/>
        <c:crossAx val="5875051"/>
        <c:crosses val="autoZero"/>
        <c:auto val="1"/>
        <c:lblOffset val="100"/>
        <c:tickLblSkip val="4"/>
        <c:noMultiLvlLbl val="0"/>
      </c:catAx>
      <c:valAx>
        <c:axId val="5875051"/>
        <c:scaling>
          <c:orientation val="minMax"/>
        </c:scaling>
        <c:axPos val="l"/>
        <c:title>
          <c:tx>
            <c:rich>
              <a:bodyPr vert="horz" rot="-5400000" anchor="ctr"/>
              <a:lstStyle/>
              <a:p>
                <a:pPr algn="ctr">
                  <a:defRPr/>
                </a:pPr>
                <a:r>
                  <a:rPr lang="en-US" cap="none" sz="1200" b="1" i="0" u="none" baseline="0">
                    <a:latin typeface="Arial"/>
                    <a:ea typeface="Arial"/>
                    <a:cs typeface="Arial"/>
                  </a:rPr>
                  <a:t>Millions of Metric Tons of CO2</a:t>
                </a:r>
              </a:p>
            </c:rich>
          </c:tx>
          <c:layout>
            <c:manualLayout>
              <c:xMode val="factor"/>
              <c:yMode val="factor"/>
              <c:x val="-0.005"/>
              <c:y val="-0.0105"/>
            </c:manualLayout>
          </c:layout>
          <c:overlay val="0"/>
          <c:spPr>
            <a:noFill/>
            <a:ln>
              <a:noFill/>
            </a:ln>
          </c:spPr>
        </c:title>
        <c:majorGridlines/>
        <c:delete val="0"/>
        <c:numFmt formatCode="#,##0" sourceLinked="0"/>
        <c:majorTickMark val="out"/>
        <c:minorTickMark val="none"/>
        <c:tickLblPos val="nextTo"/>
        <c:crossAx val="45392026"/>
        <c:crossesAt val="1"/>
        <c:crossBetween val="midCat"/>
        <c:dispUnits/>
      </c:valAx>
      <c:spPr>
        <a:solidFill>
          <a:srgbClr val="C0C0C0"/>
        </a:solidFill>
        <a:ln w="12700">
          <a:solidFill>
            <a:srgbClr val="808080"/>
          </a:solidFill>
        </a:ln>
      </c:spPr>
    </c:plotArea>
    <c:legend>
      <c:legendPos val="r"/>
      <c:layout>
        <c:manualLayout>
          <c:xMode val="edge"/>
          <c:yMode val="edge"/>
          <c:x val="0.5805"/>
          <c:y val="0.6545"/>
          <c:w val="0.2705"/>
          <c:h val="0.18"/>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Hybrid Carbon Tax: Petroleum Impact
</a:t>
            </a:r>
          </a:p>
        </c:rich>
      </c:tx>
      <c:layout>
        <c:manualLayout>
          <c:xMode val="factor"/>
          <c:yMode val="factor"/>
          <c:x val="0.00325"/>
          <c:y val="0.02875"/>
        </c:manualLayout>
      </c:layout>
      <c:spPr>
        <a:noFill/>
        <a:ln>
          <a:noFill/>
        </a:ln>
      </c:spPr>
    </c:title>
    <c:plotArea>
      <c:layout>
        <c:manualLayout>
          <c:xMode val="edge"/>
          <c:yMode val="edge"/>
          <c:x val="0.1025"/>
          <c:y val="0.157"/>
          <c:w val="0.78925"/>
          <c:h val="0.8155"/>
        </c:manualLayout>
      </c:layout>
      <c:lineChart>
        <c:grouping val="standard"/>
        <c:varyColors val="0"/>
        <c:ser>
          <c:idx val="0"/>
          <c:order val="0"/>
          <c:tx>
            <c:v>No Carbon Tax, No Petroleum Tax</c:v>
          </c:tx>
          <c:extLst>
            <c:ext xmlns:c14="http://schemas.microsoft.com/office/drawing/2007/8/2/chart" uri="{6F2FDCE9-48DA-4B69-8628-5D25D57E5C99}">
              <c14:invertSolidFillFmt>
                <c14:spPr>
                  <a:solidFill>
                    <a:srgbClr val="000000"/>
                  </a:solidFill>
                </c14:spPr>
              </c14:invertSolidFillFmt>
            </c:ext>
          </c:extLst>
          <c:cat>
            <c:numRef>
              <c:f>Graph_CO2!$F$6:$AE$6</c:f>
              <c:numCache>
                <c:ptCount val="2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Graph_Oil!$F$8:$AE$8</c:f>
              <c:numCache/>
            </c:numRef>
          </c:val>
          <c:smooth val="0"/>
        </c:ser>
        <c:ser>
          <c:idx val="1"/>
          <c:order val="1"/>
          <c:tx>
            <c:v>Tax Levels selected in Summary worksheet</c:v>
          </c:tx>
          <c:extLst>
            <c:ext xmlns:c14="http://schemas.microsoft.com/office/drawing/2007/8/2/chart" uri="{6F2FDCE9-48DA-4B69-8628-5D25D57E5C99}">
              <c14:invertSolidFillFmt>
                <c14:spPr>
                  <a:solidFill>
                    <a:srgbClr val="000000"/>
                  </a:solidFill>
                </c14:spPr>
              </c14:invertSolidFillFmt>
            </c:ext>
          </c:extLst>
          <c:cat>
            <c:numRef>
              <c:f>Graph_CO2!$F$6:$AE$6</c:f>
              <c:numCache>
                <c:ptCount val="2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Graph_Oil!$F$10:$AE$10</c:f>
              <c:numCache>
                <c:ptCount val="26"/>
                <c:pt idx="0">
                  <c:v>20745.477</c:v>
                </c:pt>
                <c:pt idx="1">
                  <c:v>20717.87129397307</c:v>
                </c:pt>
                <c:pt idx="2">
                  <c:v>20587.102836197453</c:v>
                </c:pt>
                <c:pt idx="3">
                  <c:v>20369.02535981589</c:v>
                </c:pt>
                <c:pt idx="4">
                  <c:v>20077.23631383789</c:v>
                </c:pt>
                <c:pt idx="5">
                  <c:v>19723.635775155013</c:v>
                </c:pt>
                <c:pt idx="6">
                  <c:v>19318.75302029674</c:v>
                </c:pt>
                <c:pt idx="7">
                  <c:v>18871.954179364766</c:v>
                </c:pt>
                <c:pt idx="8">
                  <c:v>18391.585315904253</c:v>
                </c:pt>
                <c:pt idx="9">
                  <c:v>17885.078827399164</c:v>
                </c:pt>
                <c:pt idx="10">
                  <c:v>17359.038203088458</c:v>
                </c:pt>
                <c:pt idx="11">
                  <c:v>16913.037689190325</c:v>
                </c:pt>
                <c:pt idx="12">
                  <c:v>16528.66290916395</c:v>
                </c:pt>
                <c:pt idx="13">
                  <c:v>16193.38173292828</c:v>
                </c:pt>
                <c:pt idx="14">
                  <c:v>15925.486192557779</c:v>
                </c:pt>
                <c:pt idx="15">
                  <c:v>15715.317323378044</c:v>
                </c:pt>
                <c:pt idx="16">
                  <c:v>15555.478569447147</c:v>
                </c:pt>
                <c:pt idx="17">
                  <c:v>15440.209374402657</c:v>
                </c:pt>
                <c:pt idx="18">
                  <c:v>15364.969475312892</c:v>
                </c:pt>
                <c:pt idx="19">
                  <c:v>15326.153010987273</c:v>
                </c:pt>
                <c:pt idx="20">
                  <c:v>15320.886219525175</c:v>
                </c:pt>
                <c:pt idx="21">
                  <c:v>15346.880967598878</c:v>
                </c:pt>
                <c:pt idx="22">
                  <c:v>15402.32674951954</c:v>
                </c:pt>
                <c:pt idx="23">
                  <c:v>15485.809919964753</c:v>
                </c:pt>
              </c:numCache>
            </c:numRef>
          </c:val>
          <c:smooth val="0"/>
        </c:ser>
        <c:marker val="1"/>
        <c:axId val="52875460"/>
        <c:axId val="6117093"/>
      </c:lineChart>
      <c:catAx>
        <c:axId val="52875460"/>
        <c:scaling>
          <c:orientation val="minMax"/>
        </c:scaling>
        <c:axPos val="b"/>
        <c:delete val="0"/>
        <c:numFmt formatCode="General" sourceLinked="1"/>
        <c:majorTickMark val="out"/>
        <c:minorTickMark val="none"/>
        <c:tickLblPos val="nextTo"/>
        <c:crossAx val="6117093"/>
        <c:crosses val="autoZero"/>
        <c:auto val="1"/>
        <c:lblOffset val="100"/>
        <c:tickLblSkip val="4"/>
        <c:noMultiLvlLbl val="0"/>
      </c:catAx>
      <c:valAx>
        <c:axId val="6117093"/>
        <c:scaling>
          <c:orientation val="minMax"/>
        </c:scaling>
        <c:axPos val="l"/>
        <c:title>
          <c:tx>
            <c:rich>
              <a:bodyPr vert="horz" rot="-5400000" anchor="ctr"/>
              <a:lstStyle/>
              <a:p>
                <a:pPr algn="ctr">
                  <a:defRPr/>
                </a:pPr>
                <a:r>
                  <a:rPr lang="en-US" cap="none" sz="1200" b="1" i="0" u="none" baseline="0">
                    <a:latin typeface="Arial"/>
                    <a:ea typeface="Arial"/>
                    <a:cs typeface="Arial"/>
                  </a:rPr>
                  <a:t>Thousand Barrels/day of Petroleum</a:t>
                </a:r>
              </a:p>
            </c:rich>
          </c:tx>
          <c:layout>
            <c:manualLayout>
              <c:xMode val="factor"/>
              <c:yMode val="factor"/>
              <c:x val="-0.005"/>
              <c:y val="-0.0105"/>
            </c:manualLayout>
          </c:layout>
          <c:overlay val="0"/>
          <c:spPr>
            <a:noFill/>
            <a:ln>
              <a:noFill/>
            </a:ln>
          </c:spPr>
        </c:title>
        <c:majorGridlines/>
        <c:delete val="0"/>
        <c:numFmt formatCode="General" sourceLinked="1"/>
        <c:majorTickMark val="out"/>
        <c:minorTickMark val="none"/>
        <c:tickLblPos val="nextTo"/>
        <c:crossAx val="52875460"/>
        <c:crossesAt val="1"/>
        <c:crossBetween val="midCat"/>
        <c:dispUnits/>
      </c:valAx>
      <c:spPr>
        <a:solidFill>
          <a:srgbClr val="C0C0C0"/>
        </a:solidFill>
        <a:ln w="12700">
          <a:solidFill>
            <a:srgbClr val="808080"/>
          </a:solidFill>
        </a:ln>
      </c:spPr>
    </c:plotArea>
    <c:legend>
      <c:legendPos val="r"/>
      <c:layout>
        <c:manualLayout>
          <c:xMode val="edge"/>
          <c:yMode val="edge"/>
          <c:x val="0.58025"/>
          <c:y val="0.726"/>
          <c:w val="0.255"/>
          <c:h val="0.183"/>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12</xdr:col>
      <xdr:colOff>581025</xdr:colOff>
      <xdr:row>47</xdr:row>
      <xdr:rowOff>123825</xdr:rowOff>
    </xdr:to>
    <xdr:graphicFrame>
      <xdr:nvGraphicFramePr>
        <xdr:cNvPr id="1" name="Chart 1"/>
        <xdr:cNvGraphicFramePr/>
      </xdr:nvGraphicFramePr>
      <xdr:xfrm>
        <a:off x="47625" y="2133600"/>
        <a:ext cx="7991475" cy="5143500"/>
      </xdr:xfrm>
      <a:graphic>
        <a:graphicData uri="http://schemas.openxmlformats.org/drawingml/2006/chart">
          <c:chart xmlns:c="http://schemas.openxmlformats.org/drawingml/2006/chart" r:id="rId1"/>
        </a:graphicData>
      </a:graphic>
    </xdr:graphicFrame>
    <xdr:clientData/>
  </xdr:twoCellAnchor>
  <xdr:oneCellAnchor>
    <xdr:from>
      <xdr:col>11</xdr:col>
      <xdr:colOff>342900</xdr:colOff>
      <xdr:row>14</xdr:row>
      <xdr:rowOff>142875</xdr:rowOff>
    </xdr:from>
    <xdr:ext cx="828675" cy="3724275"/>
    <xdr:sp>
      <xdr:nvSpPr>
        <xdr:cNvPr id="2" name="TextBox 2"/>
        <xdr:cNvSpPr txBox="1">
          <a:spLocks noChangeArrowheads="1"/>
        </xdr:cNvSpPr>
      </xdr:nvSpPr>
      <xdr:spPr>
        <a:xfrm>
          <a:off x="7191375" y="2266950"/>
          <a:ext cx="828675" cy="3724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76200</xdr:colOff>
      <xdr:row>36</xdr:row>
      <xdr:rowOff>114300</xdr:rowOff>
    </xdr:from>
    <xdr:ext cx="1781175" cy="619125"/>
    <xdr:sp>
      <xdr:nvSpPr>
        <xdr:cNvPr id="3" name="TextBox 3"/>
        <xdr:cNvSpPr txBox="1">
          <a:spLocks noChangeArrowheads="1"/>
        </xdr:cNvSpPr>
      </xdr:nvSpPr>
      <xdr:spPr>
        <a:xfrm>
          <a:off x="3267075" y="5591175"/>
          <a:ext cx="178117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12</xdr:col>
      <xdr:colOff>581025</xdr:colOff>
      <xdr:row>47</xdr:row>
      <xdr:rowOff>123825</xdr:rowOff>
    </xdr:to>
    <xdr:graphicFrame>
      <xdr:nvGraphicFramePr>
        <xdr:cNvPr id="1" name="Chart 1"/>
        <xdr:cNvGraphicFramePr/>
      </xdr:nvGraphicFramePr>
      <xdr:xfrm>
        <a:off x="47625" y="2124075"/>
        <a:ext cx="8058150" cy="5143500"/>
      </xdr:xfrm>
      <a:graphic>
        <a:graphicData uri="http://schemas.openxmlformats.org/drawingml/2006/chart">
          <c:chart xmlns:c="http://schemas.openxmlformats.org/drawingml/2006/chart" r:id="rId1"/>
        </a:graphicData>
      </a:graphic>
    </xdr:graphicFrame>
    <xdr:clientData/>
  </xdr:twoCellAnchor>
  <xdr:oneCellAnchor>
    <xdr:from>
      <xdr:col>11</xdr:col>
      <xdr:colOff>342900</xdr:colOff>
      <xdr:row>14</xdr:row>
      <xdr:rowOff>142875</xdr:rowOff>
    </xdr:from>
    <xdr:ext cx="828675" cy="3724275"/>
    <xdr:sp>
      <xdr:nvSpPr>
        <xdr:cNvPr id="2" name="TextBox 2"/>
        <xdr:cNvSpPr txBox="1">
          <a:spLocks noChangeArrowheads="1"/>
        </xdr:cNvSpPr>
      </xdr:nvSpPr>
      <xdr:spPr>
        <a:xfrm>
          <a:off x="7258050" y="2257425"/>
          <a:ext cx="828675" cy="3724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76200</xdr:colOff>
      <xdr:row>36</xdr:row>
      <xdr:rowOff>114300</xdr:rowOff>
    </xdr:from>
    <xdr:ext cx="1771650" cy="619125"/>
    <xdr:sp>
      <xdr:nvSpPr>
        <xdr:cNvPr id="3" name="TextBox 3"/>
        <xdr:cNvSpPr txBox="1">
          <a:spLocks noChangeArrowheads="1"/>
        </xdr:cNvSpPr>
      </xdr:nvSpPr>
      <xdr:spPr>
        <a:xfrm>
          <a:off x="3267075" y="5581650"/>
          <a:ext cx="1771650"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hyperlink" Target="http://www.eia.doe.gov/emeu/mer/append_a.html,%20Table%20A3."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23"/>
  <sheetViews>
    <sheetView tabSelected="1" workbookViewId="0" topLeftCell="A1">
      <selection activeCell="G4" sqref="G4"/>
    </sheetView>
  </sheetViews>
  <sheetFormatPr defaultColWidth="9.140625" defaultRowHeight="12"/>
  <cols>
    <col min="1" max="8" width="10.140625" style="0" customWidth="1"/>
    <col min="9" max="9" width="10.140625" style="33" customWidth="1"/>
    <col min="10" max="10" width="10.140625" style="0" customWidth="1"/>
    <col min="11" max="32" width="9.57421875" style="0" customWidth="1"/>
    <col min="33" max="16384" width="10.140625" style="0" customWidth="1"/>
  </cols>
  <sheetData>
    <row r="1" spans="1:22" s="9" customFormat="1" ht="13.5">
      <c r="A1" s="104" t="s">
        <v>299</v>
      </c>
      <c r="I1" s="74"/>
      <c r="V1" s="45" t="s">
        <v>153</v>
      </c>
    </row>
    <row r="2" ht="12.75">
      <c r="A2" s="63" t="s">
        <v>18</v>
      </c>
    </row>
    <row r="3" ht="12.75">
      <c r="A3" s="133" t="s">
        <v>300</v>
      </c>
    </row>
    <row r="4" ht="13.5" thickBot="1">
      <c r="A4" s="116"/>
    </row>
    <row r="5" spans="1:6" ht="13.5" thickBot="1">
      <c r="A5" s="1" t="s">
        <v>19</v>
      </c>
      <c r="D5" s="127" t="s">
        <v>17</v>
      </c>
      <c r="E5" s="128"/>
      <c r="F5" s="129"/>
    </row>
    <row r="6" spans="1:6" ht="12.75">
      <c r="A6" s="1"/>
      <c r="D6" s="140"/>
      <c r="E6" s="141"/>
      <c r="F6" s="141"/>
    </row>
    <row r="7" spans="1:6" ht="12.75">
      <c r="A7" s="45" t="s">
        <v>288</v>
      </c>
      <c r="D7" s="140"/>
      <c r="E7" s="141"/>
      <c r="F7" s="141"/>
    </row>
    <row r="8" spans="1:6" ht="12.75">
      <c r="A8" s="45" t="s">
        <v>289</v>
      </c>
      <c r="D8" s="140"/>
      <c r="E8" s="141"/>
      <c r="F8" s="141"/>
    </row>
    <row r="9" spans="1:4" ht="12.75">
      <c r="A9" s="1"/>
      <c r="D9" s="9"/>
    </row>
    <row r="10" spans="1:9" s="63" customFormat="1" ht="12" customHeight="1">
      <c r="A10" s="150" t="s">
        <v>290</v>
      </c>
      <c r="B10" s="150"/>
      <c r="C10" s="150"/>
      <c r="D10" s="150"/>
      <c r="E10" s="150"/>
      <c r="F10" s="150"/>
      <c r="G10" s="150"/>
      <c r="H10" s="150"/>
      <c r="I10" s="151"/>
    </row>
    <row r="11" spans="1:9" s="63" customFormat="1" ht="12" customHeight="1">
      <c r="A11" s="150"/>
      <c r="B11" s="150"/>
      <c r="C11" s="150"/>
      <c r="D11" s="150"/>
      <c r="E11" s="150"/>
      <c r="F11" s="150"/>
      <c r="G11" s="150"/>
      <c r="H11" s="150"/>
      <c r="I11" s="151"/>
    </row>
    <row r="12" spans="1:9" s="63" customFormat="1" ht="12" customHeight="1">
      <c r="A12" s="150"/>
      <c r="B12" s="150"/>
      <c r="C12" s="150"/>
      <c r="D12" s="150"/>
      <c r="E12" s="150"/>
      <c r="F12" s="150"/>
      <c r="G12" s="150"/>
      <c r="H12" s="150"/>
      <c r="I12" s="151"/>
    </row>
    <row r="13" spans="1:9" s="63" customFormat="1" ht="12" customHeight="1">
      <c r="A13" s="134"/>
      <c r="B13" s="134"/>
      <c r="C13" s="134"/>
      <c r="D13" s="134"/>
      <c r="E13" s="134"/>
      <c r="F13" s="134"/>
      <c r="G13" s="134"/>
      <c r="H13" s="134"/>
      <c r="I13" s="135"/>
    </row>
    <row r="14" spans="1:9" s="63" customFormat="1" ht="12.75">
      <c r="A14" s="45" t="s">
        <v>291</v>
      </c>
      <c r="B14" s="103"/>
      <c r="C14" s="103"/>
      <c r="D14" s="103"/>
      <c r="E14" s="103"/>
      <c r="F14" s="103"/>
      <c r="G14" s="103"/>
      <c r="H14" s="103"/>
      <c r="I14" s="105"/>
    </row>
    <row r="15" spans="1:21" s="63" customFormat="1" ht="12.75" customHeight="1">
      <c r="A15"/>
      <c r="B15"/>
      <c r="C15"/>
      <c r="D15"/>
      <c r="E15"/>
      <c r="F15"/>
      <c r="G15"/>
      <c r="H15"/>
      <c r="I15"/>
      <c r="J15" s="124"/>
      <c r="L15" s="45"/>
      <c r="M15" s="45"/>
      <c r="N15" s="45"/>
      <c r="O15" s="45"/>
      <c r="P15" s="45"/>
      <c r="Q15" s="45"/>
      <c r="R15" s="45"/>
      <c r="S15" s="45"/>
      <c r="T15" s="45"/>
      <c r="U15" s="45"/>
    </row>
    <row r="16" spans="1:21" s="63" customFormat="1" ht="12.75">
      <c r="A16" s="9" t="s">
        <v>152</v>
      </c>
      <c r="B16"/>
      <c r="C16"/>
      <c r="D16"/>
      <c r="E16"/>
      <c r="F16"/>
      <c r="G16"/>
      <c r="H16"/>
      <c r="I16"/>
      <c r="J16" s="124"/>
      <c r="K16" s="45"/>
      <c r="L16" s="45"/>
      <c r="M16" s="45"/>
      <c r="N16" s="45"/>
      <c r="O16" s="45"/>
      <c r="P16" s="45"/>
      <c r="Q16" s="45"/>
      <c r="R16" s="45"/>
      <c r="S16" s="45"/>
      <c r="T16" s="45"/>
      <c r="U16" s="45"/>
    </row>
    <row r="17" spans="2:11" s="63" customFormat="1" ht="12.75">
      <c r="B17"/>
      <c r="C17"/>
      <c r="D17"/>
      <c r="E17"/>
      <c r="F17"/>
      <c r="G17"/>
      <c r="H17"/>
      <c r="I17"/>
      <c r="J17" s="124"/>
      <c r="K17" s="45"/>
    </row>
    <row r="18" spans="1:21" s="63" customFormat="1" ht="12.75" customHeight="1">
      <c r="A18" s="45" t="s">
        <v>294</v>
      </c>
      <c r="B18"/>
      <c r="C18"/>
      <c r="D18"/>
      <c r="E18"/>
      <c r="F18"/>
      <c r="G18"/>
      <c r="H18"/>
      <c r="I18"/>
      <c r="J18" s="124"/>
      <c r="L18" s="9"/>
      <c r="M18" s="9"/>
      <c r="N18" s="9"/>
      <c r="O18" s="9"/>
      <c r="P18" s="9"/>
      <c r="Q18" s="9"/>
      <c r="R18" s="9"/>
      <c r="S18" s="9"/>
      <c r="T18" s="9"/>
      <c r="U18" s="9"/>
    </row>
    <row r="19" spans="1:21" s="63" customFormat="1" ht="12.75">
      <c r="A19" s="45"/>
      <c r="B19"/>
      <c r="C19"/>
      <c r="D19"/>
      <c r="E19"/>
      <c r="F19"/>
      <c r="G19"/>
      <c r="H19"/>
      <c r="I19"/>
      <c r="J19" s="124"/>
      <c r="K19" s="9"/>
      <c r="L19" s="9"/>
      <c r="M19" s="9"/>
      <c r="N19" s="9"/>
      <c r="O19" s="9"/>
      <c r="P19" s="9"/>
      <c r="Q19" s="9"/>
      <c r="R19" s="9"/>
      <c r="S19" s="9"/>
      <c r="T19" s="9"/>
      <c r="U19" s="9"/>
    </row>
    <row r="20" spans="1:11" ht="12">
      <c r="A20" s="9" t="s">
        <v>264</v>
      </c>
      <c r="I20"/>
      <c r="J20" s="125"/>
      <c r="K20" s="45"/>
    </row>
    <row r="21" spans="1:10" s="63" customFormat="1" ht="12.75">
      <c r="A21" s="45"/>
      <c r="B21"/>
      <c r="C21"/>
      <c r="D21"/>
      <c r="E21"/>
      <c r="F21"/>
      <c r="G21"/>
      <c r="H21"/>
      <c r="I21"/>
      <c r="J21" s="124"/>
    </row>
    <row r="22" spans="1:10" s="63" customFormat="1" ht="12.75">
      <c r="A22" s="9" t="s">
        <v>177</v>
      </c>
      <c r="B22"/>
      <c r="C22"/>
      <c r="D22"/>
      <c r="E22"/>
      <c r="F22"/>
      <c r="G22"/>
      <c r="H22"/>
      <c r="I22"/>
      <c r="J22" s="124"/>
    </row>
    <row r="23" spans="1:10" s="63" customFormat="1" ht="12.75">
      <c r="A23"/>
      <c r="B23"/>
      <c r="C23"/>
      <c r="D23"/>
      <c r="E23"/>
      <c r="F23"/>
      <c r="G23"/>
      <c r="H23"/>
      <c r="I23"/>
      <c r="J23" s="124"/>
    </row>
    <row r="24" spans="1:11" s="63" customFormat="1" ht="12.75" customHeight="1">
      <c r="A24" s="154" t="s">
        <v>178</v>
      </c>
      <c r="B24" s="154"/>
      <c r="C24" s="154"/>
      <c r="D24" s="154"/>
      <c r="E24" s="154"/>
      <c r="F24" s="154"/>
      <c r="G24" s="154"/>
      <c r="H24" s="154"/>
      <c r="I24" s="154"/>
      <c r="J24" s="124"/>
      <c r="K24" s="45"/>
    </row>
    <row r="25" spans="1:21" s="63" customFormat="1" ht="12.75" customHeight="1">
      <c r="A25" s="154"/>
      <c r="B25" s="154"/>
      <c r="C25" s="154"/>
      <c r="D25" s="154"/>
      <c r="E25" s="154"/>
      <c r="F25" s="154"/>
      <c r="G25" s="154"/>
      <c r="H25" s="154"/>
      <c r="I25" s="154"/>
      <c r="J25" s="124"/>
      <c r="L25" s="45"/>
      <c r="M25" s="45"/>
      <c r="N25" s="45"/>
      <c r="O25" s="45"/>
      <c r="P25" s="45"/>
      <c r="Q25" s="45"/>
      <c r="R25" s="45"/>
      <c r="S25" s="45"/>
      <c r="T25" s="45"/>
      <c r="U25" s="45"/>
    </row>
    <row r="26" spans="1:21" s="63" customFormat="1" ht="12.75">
      <c r="A26"/>
      <c r="B26"/>
      <c r="C26"/>
      <c r="D26"/>
      <c r="E26"/>
      <c r="F26"/>
      <c r="G26"/>
      <c r="H26"/>
      <c r="I26"/>
      <c r="J26" s="124"/>
      <c r="K26" s="45"/>
      <c r="L26" s="45"/>
      <c r="M26" s="45"/>
      <c r="N26" s="45"/>
      <c r="O26" s="45"/>
      <c r="P26" s="45"/>
      <c r="Q26" s="45"/>
      <c r="R26" s="45"/>
      <c r="S26" s="45"/>
      <c r="T26" s="45"/>
      <c r="U26" s="45"/>
    </row>
    <row r="27" spans="1:21" s="63" customFormat="1" ht="12.75">
      <c r="A27" s="9" t="s">
        <v>213</v>
      </c>
      <c r="B27"/>
      <c r="C27"/>
      <c r="D27"/>
      <c r="E27"/>
      <c r="F27"/>
      <c r="G27"/>
      <c r="H27"/>
      <c r="I27"/>
      <c r="J27" s="124"/>
      <c r="K27" s="45"/>
      <c r="L27" s="45"/>
      <c r="M27" s="45"/>
      <c r="N27" s="45"/>
      <c r="O27" s="45"/>
      <c r="P27" s="45"/>
      <c r="Q27" s="45"/>
      <c r="R27" s="45"/>
      <c r="S27" s="45"/>
      <c r="T27" s="45"/>
      <c r="U27" s="45"/>
    </row>
    <row r="28" spans="1:21" s="63" customFormat="1" ht="12.75">
      <c r="A28" t="s">
        <v>205</v>
      </c>
      <c r="B28"/>
      <c r="C28"/>
      <c r="D28"/>
      <c r="E28"/>
      <c r="F28"/>
      <c r="G28"/>
      <c r="H28"/>
      <c r="I28"/>
      <c r="J28" s="124"/>
      <c r="K28" s="45"/>
      <c r="L28" s="45"/>
      <c r="M28" s="45"/>
      <c r="N28" s="45"/>
      <c r="O28" s="45"/>
      <c r="P28" s="45"/>
      <c r="Q28" s="45"/>
      <c r="R28" s="45"/>
      <c r="S28" s="45"/>
      <c r="T28" s="45"/>
      <c r="U28" s="45"/>
    </row>
    <row r="29" spans="1:21" s="63" customFormat="1" ht="12.75" customHeight="1">
      <c r="A29" t="s">
        <v>206</v>
      </c>
      <c r="J29" s="124"/>
      <c r="K29" s="45"/>
      <c r="L29" s="45"/>
      <c r="M29" s="45"/>
      <c r="N29" s="45"/>
      <c r="O29" s="45"/>
      <c r="P29" s="45"/>
      <c r="Q29" s="45"/>
      <c r="R29" s="45"/>
      <c r="S29" s="45"/>
      <c r="T29" s="45"/>
      <c r="U29" s="45"/>
    </row>
    <row r="30" spans="1:11" s="63" customFormat="1" ht="12.75">
      <c r="A30" t="s">
        <v>207</v>
      </c>
      <c r="J30" s="124"/>
      <c r="K30" s="45"/>
    </row>
    <row r="31" spans="1:11" s="63" customFormat="1" ht="12.75">
      <c r="A31"/>
      <c r="J31" s="124"/>
      <c r="K31" s="45"/>
    </row>
    <row r="32" spans="1:11" s="63" customFormat="1" ht="12.75">
      <c r="A32" s="154" t="s">
        <v>179</v>
      </c>
      <c r="B32" s="154"/>
      <c r="C32" s="154"/>
      <c r="D32" s="154"/>
      <c r="E32" s="154"/>
      <c r="F32" s="154"/>
      <c r="G32" s="154"/>
      <c r="H32" s="154"/>
      <c r="I32" s="154"/>
      <c r="J32" s="124"/>
      <c r="K32" s="45"/>
    </row>
    <row r="33" spans="1:11" s="63" customFormat="1" ht="12.75">
      <c r="A33" s="154"/>
      <c r="B33" s="154"/>
      <c r="C33" s="154"/>
      <c r="D33" s="154"/>
      <c r="E33" s="154"/>
      <c r="F33" s="154"/>
      <c r="G33" s="154"/>
      <c r="H33" s="154"/>
      <c r="I33" s="154"/>
      <c r="J33" s="124"/>
      <c r="K33" s="45"/>
    </row>
    <row r="34" spans="1:11" s="63" customFormat="1" ht="12.75">
      <c r="A34"/>
      <c r="B34"/>
      <c r="C34"/>
      <c r="D34"/>
      <c r="E34"/>
      <c r="F34"/>
      <c r="G34"/>
      <c r="H34"/>
      <c r="I34"/>
      <c r="J34" s="124"/>
      <c r="K34" s="45"/>
    </row>
    <row r="35" spans="1:11" s="63" customFormat="1" ht="12.75">
      <c r="A35" s="9" t="s">
        <v>292</v>
      </c>
      <c r="B35"/>
      <c r="C35"/>
      <c r="D35"/>
      <c r="E35"/>
      <c r="F35"/>
      <c r="G35"/>
      <c r="H35"/>
      <c r="I35"/>
      <c r="J35" s="124"/>
      <c r="K35" s="45"/>
    </row>
    <row r="36" spans="1:11" s="63" customFormat="1" ht="12.75">
      <c r="A36" s="45"/>
      <c r="B36" s="103"/>
      <c r="C36" s="103"/>
      <c r="D36" s="103"/>
      <c r="E36" s="103"/>
      <c r="F36" s="103"/>
      <c r="G36" s="103"/>
      <c r="H36" s="103"/>
      <c r="I36" s="105"/>
      <c r="K36" s="45"/>
    </row>
    <row r="37" spans="1:11" s="63" customFormat="1" ht="12.75">
      <c r="A37" s="9" t="s">
        <v>293</v>
      </c>
      <c r="B37" s="103"/>
      <c r="C37" s="103"/>
      <c r="D37" s="103"/>
      <c r="E37" s="103"/>
      <c r="F37" s="103"/>
      <c r="G37" s="103"/>
      <c r="H37" s="103"/>
      <c r="I37" s="105"/>
      <c r="K37" s="45"/>
    </row>
    <row r="38" spans="1:11" s="63" customFormat="1" ht="12.75">
      <c r="A38" s="45"/>
      <c r="B38" s="103"/>
      <c r="C38" s="103"/>
      <c r="D38" s="103"/>
      <c r="E38" s="103"/>
      <c r="F38" s="103"/>
      <c r="G38" s="103"/>
      <c r="H38" s="103"/>
      <c r="I38" s="105"/>
      <c r="K38" s="45"/>
    </row>
    <row r="39" spans="1:9" s="63" customFormat="1" ht="12.75">
      <c r="A39" s="9" t="s">
        <v>7</v>
      </c>
      <c r="I39" s="83"/>
    </row>
    <row r="41" spans="1:9" ht="11.25">
      <c r="A41" s="150" t="s">
        <v>295</v>
      </c>
      <c r="B41" s="155"/>
      <c r="C41" s="155"/>
      <c r="D41" s="155"/>
      <c r="E41" s="155"/>
      <c r="F41" s="155"/>
      <c r="G41" s="155"/>
      <c r="H41" s="155"/>
      <c r="I41" s="156"/>
    </row>
    <row r="42" spans="1:9" ht="11.25">
      <c r="A42" s="155"/>
      <c r="B42" s="155"/>
      <c r="C42" s="155"/>
      <c r="D42" s="155"/>
      <c r="E42" s="155"/>
      <c r="F42" s="155"/>
      <c r="G42" s="155"/>
      <c r="H42" s="155"/>
      <c r="I42" s="156"/>
    </row>
    <row r="43" spans="1:9" ht="11.25">
      <c r="A43" s="155"/>
      <c r="B43" s="155"/>
      <c r="C43" s="155"/>
      <c r="D43" s="155"/>
      <c r="E43" s="155"/>
      <c r="F43" s="155"/>
      <c r="G43" s="155"/>
      <c r="H43" s="155"/>
      <c r="I43" s="156"/>
    </row>
    <row r="45" ht="12.75">
      <c r="A45" s="1" t="s">
        <v>149</v>
      </c>
    </row>
    <row r="47" spans="1:9" ht="11.25">
      <c r="A47" s="155" t="s">
        <v>265</v>
      </c>
      <c r="B47" s="155"/>
      <c r="C47" s="155"/>
      <c r="D47" s="155"/>
      <c r="E47" s="155"/>
      <c r="F47" s="155"/>
      <c r="G47" s="155"/>
      <c r="H47" s="155"/>
      <c r="I47" s="156"/>
    </row>
    <row r="48" spans="1:9" ht="11.25">
      <c r="A48" s="155"/>
      <c r="B48" s="155"/>
      <c r="C48" s="155"/>
      <c r="D48" s="155"/>
      <c r="E48" s="155"/>
      <c r="F48" s="155"/>
      <c r="G48" s="155"/>
      <c r="H48" s="155"/>
      <c r="I48" s="156"/>
    </row>
    <row r="50" spans="1:9" ht="12" customHeight="1">
      <c r="A50" s="157" t="s">
        <v>266</v>
      </c>
      <c r="B50" s="154"/>
      <c r="C50" s="154"/>
      <c r="D50" s="154"/>
      <c r="E50" s="154"/>
      <c r="F50" s="154"/>
      <c r="G50" s="154"/>
      <c r="H50" s="154"/>
      <c r="I50" s="158"/>
    </row>
    <row r="51" spans="1:9" ht="11.25">
      <c r="A51" s="154"/>
      <c r="B51" s="154"/>
      <c r="C51" s="154"/>
      <c r="D51" s="154"/>
      <c r="E51" s="154"/>
      <c r="F51" s="154"/>
      <c r="G51" s="154"/>
      <c r="H51" s="154"/>
      <c r="I51" s="158"/>
    </row>
    <row r="52" spans="1:7" ht="11.25">
      <c r="A52" s="98"/>
      <c r="B52" s="98"/>
      <c r="C52" s="98"/>
      <c r="D52" s="98"/>
      <c r="E52" s="98"/>
      <c r="F52" s="98"/>
      <c r="G52" s="98"/>
    </row>
    <row r="53" spans="1:8" ht="11.25">
      <c r="A53" s="98" t="s">
        <v>267</v>
      </c>
      <c r="H53" s="167">
        <v>10</v>
      </c>
    </row>
    <row r="54" spans="1:8" ht="11.25">
      <c r="A54" t="s">
        <v>268</v>
      </c>
      <c r="H54" s="168">
        <f>H53*Electricity!G18</f>
        <v>36.666666666666664</v>
      </c>
    </row>
    <row r="55" spans="1:8" ht="11.25">
      <c r="A55" t="s">
        <v>155</v>
      </c>
      <c r="H55" s="169">
        <f>H53*Electricity!G19/2000</f>
        <v>11.025</v>
      </c>
    </row>
    <row r="56" spans="1:17" ht="11.25">
      <c r="A56" s="15" t="s">
        <v>93</v>
      </c>
      <c r="K56" s="103"/>
      <c r="L56" s="103"/>
      <c r="M56" s="103"/>
      <c r="N56" s="103"/>
      <c r="O56" s="103"/>
      <c r="P56" s="103"/>
      <c r="Q56" s="103"/>
    </row>
    <row r="57" spans="1:9" ht="11.25">
      <c r="A57" s="15" t="s">
        <v>104</v>
      </c>
      <c r="H57" s="142">
        <f>H53*100*Gasoline!F135/2000</f>
        <v>9.813938095238093</v>
      </c>
      <c r="I57" s="33" t="s">
        <v>128</v>
      </c>
    </row>
    <row r="58" spans="1:8" ht="11.25">
      <c r="A58" s="15"/>
      <c r="H58" s="61"/>
    </row>
    <row r="59" spans="1:9" ht="11.25">
      <c r="A59" s="98" t="s">
        <v>208</v>
      </c>
      <c r="H59" s="121">
        <v>10</v>
      </c>
      <c r="I59" s="33" t="s">
        <v>128</v>
      </c>
    </row>
    <row r="60" spans="1:8" ht="11.25">
      <c r="A60" s="15"/>
      <c r="H60" s="61"/>
    </row>
    <row r="61" spans="1:10" ht="11.25">
      <c r="A61" s="98" t="s">
        <v>139</v>
      </c>
      <c r="H61" s="101">
        <v>2008</v>
      </c>
      <c r="I61" s="80" t="s">
        <v>130</v>
      </c>
      <c r="J61" s="80" t="s">
        <v>133</v>
      </c>
    </row>
    <row r="62" spans="1:10" ht="11.25">
      <c r="A62" s="98" t="s">
        <v>140</v>
      </c>
      <c r="H62" s="101">
        <v>2030</v>
      </c>
      <c r="I62" s="81" t="s">
        <v>131</v>
      </c>
      <c r="J62" s="81" t="s">
        <v>134</v>
      </c>
    </row>
    <row r="63" spans="9:10" ht="11.25">
      <c r="I63" s="81" t="s">
        <v>132</v>
      </c>
      <c r="J63" s="81" t="s">
        <v>135</v>
      </c>
    </row>
    <row r="64" spans="1:10" ht="11.25">
      <c r="A64" s="161" t="s">
        <v>6</v>
      </c>
      <c r="B64" s="162"/>
      <c r="C64" s="162"/>
      <c r="D64" s="162"/>
      <c r="E64" s="162"/>
      <c r="F64" s="162"/>
      <c r="G64" s="162"/>
      <c r="H64" s="162"/>
      <c r="I64" s="82" t="s">
        <v>142</v>
      </c>
      <c r="J64" s="82" t="s">
        <v>136</v>
      </c>
    </row>
    <row r="65" spans="1:32" ht="11.25">
      <c r="A65" s="162"/>
      <c r="B65" s="162"/>
      <c r="C65" s="162"/>
      <c r="D65" s="162"/>
      <c r="E65" s="162"/>
      <c r="F65" s="162"/>
      <c r="G65" s="162"/>
      <c r="H65" s="162"/>
      <c r="I65" s="67">
        <v>2007</v>
      </c>
      <c r="J65" s="13">
        <f>H61</f>
        <v>2008</v>
      </c>
      <c r="K65" s="13">
        <f>J65+1</f>
        <v>2009</v>
      </c>
      <c r="L65" s="13">
        <f>K65+1</f>
        <v>2010</v>
      </c>
      <c r="M65" s="13">
        <f>L65+1</f>
        <v>2011</v>
      </c>
      <c r="N65" s="13">
        <f aca="true" t="shared" si="0" ref="N65:AF65">M65+1</f>
        <v>2012</v>
      </c>
      <c r="O65" s="13">
        <f t="shared" si="0"/>
        <v>2013</v>
      </c>
      <c r="P65" s="13">
        <f t="shared" si="0"/>
        <v>2014</v>
      </c>
      <c r="Q65" s="13">
        <f t="shared" si="0"/>
        <v>2015</v>
      </c>
      <c r="R65" s="13">
        <f t="shared" si="0"/>
        <v>2016</v>
      </c>
      <c r="S65" s="13">
        <f t="shared" si="0"/>
        <v>2017</v>
      </c>
      <c r="T65" s="13">
        <f t="shared" si="0"/>
        <v>2018</v>
      </c>
      <c r="U65" s="13">
        <f t="shared" si="0"/>
        <v>2019</v>
      </c>
      <c r="V65" s="13">
        <f t="shared" si="0"/>
        <v>2020</v>
      </c>
      <c r="W65" s="13">
        <f t="shared" si="0"/>
        <v>2021</v>
      </c>
      <c r="X65" s="13">
        <f t="shared" si="0"/>
        <v>2022</v>
      </c>
      <c r="Y65" s="13">
        <f t="shared" si="0"/>
        <v>2023</v>
      </c>
      <c r="Z65" s="13">
        <f t="shared" si="0"/>
        <v>2024</v>
      </c>
      <c r="AA65" s="13">
        <f t="shared" si="0"/>
        <v>2025</v>
      </c>
      <c r="AB65" s="13">
        <f t="shared" si="0"/>
        <v>2026</v>
      </c>
      <c r="AC65" s="13">
        <f t="shared" si="0"/>
        <v>2027</v>
      </c>
      <c r="AD65" s="13">
        <f t="shared" si="0"/>
        <v>2028</v>
      </c>
      <c r="AE65" s="13">
        <f t="shared" si="0"/>
        <v>2029</v>
      </c>
      <c r="AF65" s="13">
        <f t="shared" si="0"/>
        <v>2030</v>
      </c>
    </row>
    <row r="66" spans="7:32" s="45" customFormat="1" ht="12">
      <c r="G66" s="107" t="s">
        <v>183</v>
      </c>
      <c r="H66" s="108"/>
      <c r="I66" s="84"/>
      <c r="J66" s="48"/>
      <c r="K66" s="48"/>
      <c r="L66" s="48"/>
      <c r="M66" s="48"/>
      <c r="N66" s="48"/>
      <c r="O66" s="48"/>
      <c r="P66" s="48"/>
      <c r="Q66" s="48"/>
      <c r="R66" s="48"/>
      <c r="S66" s="48"/>
      <c r="T66" s="48"/>
      <c r="U66" s="48"/>
      <c r="V66" s="48"/>
      <c r="W66" s="48"/>
      <c r="X66" s="48"/>
      <c r="Y66" s="48"/>
      <c r="Z66" s="48"/>
      <c r="AA66" s="48"/>
      <c r="AB66" s="48"/>
      <c r="AC66" s="48"/>
      <c r="AD66" s="48"/>
      <c r="AE66" s="48"/>
      <c r="AF66" s="48"/>
    </row>
    <row r="67" spans="1:33" s="9" customFormat="1" ht="12">
      <c r="A67" s="9" t="s">
        <v>75</v>
      </c>
      <c r="G67" s="109" t="s">
        <v>184</v>
      </c>
      <c r="H67" s="110"/>
      <c r="I67" s="75">
        <f>SUM(I68:I71)</f>
        <v>5982.046802176086</v>
      </c>
      <c r="J67" s="28">
        <f aca="true" t="shared" si="1" ref="J67:AF67">SUM(J68:J71)</f>
        <v>6125.906967534369</v>
      </c>
      <c r="K67" s="28">
        <f t="shared" si="1"/>
        <v>6215.285597944321</v>
      </c>
      <c r="L67" s="28">
        <f t="shared" si="1"/>
        <v>6306.059415518274</v>
      </c>
      <c r="M67" s="28">
        <f t="shared" si="1"/>
        <v>6398.252281364235</v>
      </c>
      <c r="N67" s="28">
        <f t="shared" si="1"/>
        <v>6491.888515486537</v>
      </c>
      <c r="O67" s="28">
        <f t="shared" si="1"/>
        <v>6586.992906828484</v>
      </c>
      <c r="P67" s="28">
        <f t="shared" si="1"/>
        <v>6683.590723561718</v>
      </c>
      <c r="Q67" s="28">
        <f t="shared" si="1"/>
        <v>6781.707723628869</v>
      </c>
      <c r="R67" s="28">
        <f t="shared" si="1"/>
        <v>6881.370165546323</v>
      </c>
      <c r="S67" s="28">
        <f t="shared" si="1"/>
        <v>6982.604819474042</v>
      </c>
      <c r="T67" s="28">
        <f t="shared" si="1"/>
        <v>7085.438978559625</v>
      </c>
      <c r="U67" s="28">
        <f t="shared" si="1"/>
        <v>7189.900470563957</v>
      </c>
      <c r="V67" s="28">
        <f t="shared" si="1"/>
        <v>7296.017669776089</v>
      </c>
      <c r="W67" s="28">
        <f t="shared" si="1"/>
        <v>7403.819509225043</v>
      </c>
      <c r="X67" s="28">
        <f t="shared" si="1"/>
        <v>7513.335493196671</v>
      </c>
      <c r="Y67" s="28">
        <f t="shared" si="1"/>
        <v>7624.595710063733</v>
      </c>
      <c r="Z67" s="28">
        <f t="shared" si="1"/>
        <v>7737.630845437696</v>
      </c>
      <c r="AA67" s="28">
        <f t="shared" si="1"/>
        <v>7852.472195650975</v>
      </c>
      <c r="AB67" s="28">
        <f t="shared" si="1"/>
        <v>7969.151681578592</v>
      </c>
      <c r="AC67" s="28">
        <f t="shared" si="1"/>
        <v>8087.701862808448</v>
      </c>
      <c r="AD67" s="28">
        <f t="shared" si="1"/>
        <v>8208.155952169713</v>
      </c>
      <c r="AE67" s="28">
        <f t="shared" si="1"/>
        <v>8330.547830629072</v>
      </c>
      <c r="AF67" s="28">
        <f t="shared" si="1"/>
        <v>8454.912062564885</v>
      </c>
      <c r="AG67" s="28"/>
    </row>
    <row r="68" spans="1:32" s="45" customFormat="1" ht="11.25">
      <c r="A68" s="45" t="s">
        <v>119</v>
      </c>
      <c r="G68" s="152">
        <f>I68/$I$67</f>
        <v>0.39701709188719553</v>
      </c>
      <c r="H68" s="153"/>
      <c r="I68" s="84">
        <f>Electricity!I42</f>
        <v>2374.9748249330473</v>
      </c>
      <c r="J68" s="48">
        <f>Electricity!J42</f>
        <v>2446.758439016648</v>
      </c>
      <c r="K68" s="48">
        <f>Electricity!K42</f>
        <v>2483.459815601897</v>
      </c>
      <c r="L68" s="48">
        <f>Electricity!L42</f>
        <v>2520.711712835925</v>
      </c>
      <c r="M68" s="48">
        <f>Electricity!M42</f>
        <v>2558.522388528464</v>
      </c>
      <c r="N68" s="48">
        <f>Electricity!N42</f>
        <v>2596.900224356391</v>
      </c>
      <c r="O68" s="48">
        <f>Electricity!O42</f>
        <v>2635.853727721736</v>
      </c>
      <c r="P68" s="48">
        <f>Electricity!P42</f>
        <v>2675.3915336375617</v>
      </c>
      <c r="Q68" s="48">
        <f>Electricity!Q42</f>
        <v>2715.5224066421247</v>
      </c>
      <c r="R68" s="48">
        <f>Electricity!R42</f>
        <v>2756.2552427417563</v>
      </c>
      <c r="S68" s="48">
        <f>Electricity!S42</f>
        <v>2797.5990713828824</v>
      </c>
      <c r="T68" s="48">
        <f>Electricity!T42</f>
        <v>2839.563057453626</v>
      </c>
      <c r="U68" s="48">
        <f>Electricity!U42</f>
        <v>2882.156503315429</v>
      </c>
      <c r="V68" s="48">
        <f>Electricity!V42</f>
        <v>2925.3888508651603</v>
      </c>
      <c r="W68" s="48">
        <f>Electricity!W42</f>
        <v>2969.269683628137</v>
      </c>
      <c r="X68" s="48">
        <f>Electricity!X42</f>
        <v>3013.8087288825586</v>
      </c>
      <c r="Y68" s="48">
        <f>Electricity!Y42</f>
        <v>3059.015859815796</v>
      </c>
      <c r="Z68" s="48">
        <f>Electricity!Z42</f>
        <v>3104.901097713033</v>
      </c>
      <c r="AA68" s="48">
        <f>Electricity!AA42</f>
        <v>3151.4746141787286</v>
      </c>
      <c r="AB68" s="48">
        <f>Electricity!AB42</f>
        <v>3198.7467333914087</v>
      </c>
      <c r="AC68" s="48">
        <f>Electricity!AC42</f>
        <v>3246.727934392279</v>
      </c>
      <c r="AD68" s="48">
        <f>Electricity!AD42</f>
        <v>3295.4288534081625</v>
      </c>
      <c r="AE68" s="48">
        <f>Electricity!AE42</f>
        <v>3344.860286209285</v>
      </c>
      <c r="AF68" s="48">
        <f>Electricity!AF42</f>
        <v>3395.033190502424</v>
      </c>
    </row>
    <row r="69" spans="1:32" s="45" customFormat="1" ht="11.25">
      <c r="A69" s="45" t="s">
        <v>120</v>
      </c>
      <c r="G69" s="152">
        <f>I69/$I$67</f>
        <v>0.21271853229831664</v>
      </c>
      <c r="H69" s="153"/>
      <c r="I69" s="84">
        <f>Gasoline!I42</f>
        <v>1272.4922158987356</v>
      </c>
      <c r="J69" s="48">
        <f>Gasoline!J42</f>
        <v>1298.0693094383003</v>
      </c>
      <c r="K69" s="48">
        <f>Gasoline!K42</f>
        <v>1311.0500025326833</v>
      </c>
      <c r="L69" s="48">
        <f>Gasoline!L42</f>
        <v>1324.1605025580097</v>
      </c>
      <c r="M69" s="48">
        <f>Gasoline!M42</f>
        <v>1337.40210758359</v>
      </c>
      <c r="N69" s="48">
        <f>Gasoline!N42</f>
        <v>1350.776128659426</v>
      </c>
      <c r="O69" s="48">
        <f>Gasoline!O42</f>
        <v>1364.28388994602</v>
      </c>
      <c r="P69" s="48">
        <f>Gasoline!P42</f>
        <v>1377.9267288454803</v>
      </c>
      <c r="Q69" s="48">
        <f>Gasoline!Q42</f>
        <v>1391.705996133935</v>
      </c>
      <c r="R69" s="48">
        <f>Gasoline!R42</f>
        <v>1405.6230560952745</v>
      </c>
      <c r="S69" s="48">
        <f>Gasoline!S42</f>
        <v>1419.679286656227</v>
      </c>
      <c r="T69" s="48">
        <f>Gasoline!T42</f>
        <v>1433.8760795227895</v>
      </c>
      <c r="U69" s="48">
        <f>Gasoline!U42</f>
        <v>1448.2148403180172</v>
      </c>
      <c r="V69" s="48">
        <f>Gasoline!V42</f>
        <v>1462.6969887211974</v>
      </c>
      <c r="W69" s="48">
        <f>Gasoline!W42</f>
        <v>1477.3239586084094</v>
      </c>
      <c r="X69" s="48">
        <f>Gasoline!X42</f>
        <v>1492.0971981944936</v>
      </c>
      <c r="Y69" s="48">
        <f>Gasoline!Y42</f>
        <v>1507.0181701764384</v>
      </c>
      <c r="Z69" s="48">
        <f>Gasoline!Z42</f>
        <v>1522.0883518782027</v>
      </c>
      <c r="AA69" s="48">
        <f>Gasoline!AA42</f>
        <v>1537.3092353969848</v>
      </c>
      <c r="AB69" s="48">
        <f>Gasoline!AB42</f>
        <v>1552.682327750955</v>
      </c>
      <c r="AC69" s="48">
        <f>Gasoline!AC42</f>
        <v>1568.2091510284642</v>
      </c>
      <c r="AD69" s="48">
        <f>Gasoline!AD42</f>
        <v>1583.8912425387493</v>
      </c>
      <c r="AE69" s="48">
        <f>Gasoline!AE42</f>
        <v>1599.7301549641365</v>
      </c>
      <c r="AF69" s="48">
        <f>Gasoline!AF42</f>
        <v>1615.7274565137782</v>
      </c>
    </row>
    <row r="70" spans="1:32" s="45" customFormat="1" ht="11.25">
      <c r="A70" s="45" t="s">
        <v>254</v>
      </c>
      <c r="G70" s="152">
        <f>I70/$I$67</f>
        <v>0.04181269841508355</v>
      </c>
      <c r="H70" s="153"/>
      <c r="I70" s="84">
        <f>Aviation!I42</f>
        <v>250.12551884430368</v>
      </c>
      <c r="J70" s="48">
        <f>Aviation!J42</f>
        <v>265.3581629419218</v>
      </c>
      <c r="K70" s="48">
        <f>Aviation!K42</f>
        <v>273.3189078301795</v>
      </c>
      <c r="L70" s="48">
        <f>Aviation!L42</f>
        <v>281.5184750650849</v>
      </c>
      <c r="M70" s="48">
        <f>Aviation!M42</f>
        <v>289.9640293170375</v>
      </c>
      <c r="N70" s="48">
        <f>Aviation!N42</f>
        <v>298.6629501965486</v>
      </c>
      <c r="O70" s="48">
        <f>Aviation!O42</f>
        <v>307.6228387024451</v>
      </c>
      <c r="P70" s="48">
        <f>Aviation!P42</f>
        <v>316.8515238635184</v>
      </c>
      <c r="Q70" s="48">
        <f>Aviation!Q42</f>
        <v>326.357069579424</v>
      </c>
      <c r="R70" s="48">
        <f>Aviation!R42</f>
        <v>336.14778166680674</v>
      </c>
      <c r="S70" s="48">
        <f>Aviation!S42</f>
        <v>346.23221511681095</v>
      </c>
      <c r="T70" s="48">
        <f>Aviation!T42</f>
        <v>356.6191815703153</v>
      </c>
      <c r="U70" s="48">
        <f>Aviation!U42</f>
        <v>367.3177570174247</v>
      </c>
      <c r="V70" s="48">
        <f>Aviation!V42</f>
        <v>378.33728972794745</v>
      </c>
      <c r="W70" s="48">
        <f>Aviation!W42</f>
        <v>389.6874084197859</v>
      </c>
      <c r="X70" s="48">
        <f>Aviation!X42</f>
        <v>401.3780306723795</v>
      </c>
      <c r="Y70" s="48">
        <f>Aviation!Y42</f>
        <v>413.4193715925509</v>
      </c>
      <c r="Z70" s="48">
        <f>Aviation!Z42</f>
        <v>425.8219527403275</v>
      </c>
      <c r="AA70" s="48">
        <f>Aviation!AA42</f>
        <v>438.59661132253734</v>
      </c>
      <c r="AB70" s="48">
        <f>Aviation!AB42</f>
        <v>451.7545096622134</v>
      </c>
      <c r="AC70" s="48">
        <f>Aviation!AC42</f>
        <v>465.3071449520798</v>
      </c>
      <c r="AD70" s="48">
        <f>Aviation!AD42</f>
        <v>479.26635930064225</v>
      </c>
      <c r="AE70" s="48">
        <f>Aviation!AE42</f>
        <v>493.6443500796615</v>
      </c>
      <c r="AF70" s="48">
        <f>Aviation!AF42</f>
        <v>508.4536805820514</v>
      </c>
    </row>
    <row r="71" spans="1:32" s="45" customFormat="1" ht="11.25">
      <c r="A71" s="45" t="s">
        <v>121</v>
      </c>
      <c r="G71" s="163">
        <f>I71/$I$67</f>
        <v>0.34845167739940425</v>
      </c>
      <c r="H71" s="164"/>
      <c r="I71" s="84">
        <f>Other!I42</f>
        <v>2084.4542424999995</v>
      </c>
      <c r="J71" s="48">
        <f>Other!J42</f>
        <v>2115.7210561374995</v>
      </c>
      <c r="K71" s="48">
        <f>Other!K42</f>
        <v>2147.456871979562</v>
      </c>
      <c r="L71" s="48">
        <f>Other!L42</f>
        <v>2179.668725059255</v>
      </c>
      <c r="M71" s="48">
        <f>Other!M42</f>
        <v>2212.3637559351437</v>
      </c>
      <c r="N71" s="48">
        <f>Other!N42</f>
        <v>2245.5492122741707</v>
      </c>
      <c r="O71" s="48">
        <f>Other!O42</f>
        <v>2279.2324504582834</v>
      </c>
      <c r="P71" s="48">
        <f>Other!P42</f>
        <v>2313.420937215157</v>
      </c>
      <c r="Q71" s="48">
        <f>Other!Q42</f>
        <v>2348.122251273385</v>
      </c>
      <c r="R71" s="48">
        <f>Other!R42</f>
        <v>2383.3440850424854</v>
      </c>
      <c r="S71" s="48">
        <f>Other!S42</f>
        <v>2419.094246318122</v>
      </c>
      <c r="T71" s="48">
        <f>Other!T42</f>
        <v>2455.380660012894</v>
      </c>
      <c r="U71" s="48">
        <f>Other!U42</f>
        <v>2492.211369913087</v>
      </c>
      <c r="V71" s="48">
        <f>Other!V42</f>
        <v>2529.5945404617833</v>
      </c>
      <c r="W71" s="48">
        <f>Other!W42</f>
        <v>2567.5384585687098</v>
      </c>
      <c r="X71" s="48">
        <f>Other!X42</f>
        <v>2606.05153544724</v>
      </c>
      <c r="Y71" s="48">
        <f>Other!Y42</f>
        <v>2645.142308478948</v>
      </c>
      <c r="Z71" s="48">
        <f>Other!Z42</f>
        <v>2684.8194431061324</v>
      </c>
      <c r="AA71" s="48">
        <f>Other!AA42</f>
        <v>2725.091734752724</v>
      </c>
      <c r="AB71" s="48">
        <f>Other!AB42</f>
        <v>2765.9681107740143</v>
      </c>
      <c r="AC71" s="48">
        <f>Other!AC42</f>
        <v>2807.4576324356244</v>
      </c>
      <c r="AD71" s="48">
        <f>Other!AD42</f>
        <v>2849.569496922158</v>
      </c>
      <c r="AE71" s="48">
        <f>Other!AE42</f>
        <v>2892.3130393759902</v>
      </c>
      <c r="AF71" s="48">
        <f>Other!AF42</f>
        <v>2935.69773496663</v>
      </c>
    </row>
    <row r="72" spans="9:32" s="45" customFormat="1" ht="11.25">
      <c r="I72" s="84"/>
      <c r="J72" s="48"/>
      <c r="K72" s="48"/>
      <c r="L72" s="48"/>
      <c r="M72" s="48"/>
      <c r="N72" s="48"/>
      <c r="O72" s="48"/>
      <c r="P72" s="48"/>
      <c r="Q72" s="48"/>
      <c r="R72" s="48"/>
      <c r="S72" s="48"/>
      <c r="T72" s="48"/>
      <c r="U72" s="48"/>
      <c r="V72" s="48"/>
      <c r="W72" s="48"/>
      <c r="X72" s="48"/>
      <c r="Y72" s="48"/>
      <c r="Z72" s="48"/>
      <c r="AA72" s="48"/>
      <c r="AB72" s="48"/>
      <c r="AC72" s="48"/>
      <c r="AD72" s="48"/>
      <c r="AE72" s="48"/>
      <c r="AF72" s="48"/>
    </row>
    <row r="73" spans="1:33" s="9" customFormat="1" ht="12">
      <c r="A73" s="9" t="s">
        <v>150</v>
      </c>
      <c r="I73" s="75"/>
      <c r="J73" s="28">
        <f aca="true" t="shared" si="2" ref="J73:AF73">SUM(J74:J77)</f>
        <v>5991.8655593380145</v>
      </c>
      <c r="K73" s="28">
        <f t="shared" si="2"/>
        <v>5926.9583228233205</v>
      </c>
      <c r="L73" s="28">
        <f t="shared" si="2"/>
        <v>5845.689887346688</v>
      </c>
      <c r="M73" s="28">
        <f t="shared" si="2"/>
        <v>5750.347357538355</v>
      </c>
      <c r="N73" s="28">
        <f t="shared" si="2"/>
        <v>5643.009320080446</v>
      </c>
      <c r="O73" s="28">
        <f t="shared" si="2"/>
        <v>5525.560322215142</v>
      </c>
      <c r="P73" s="28">
        <f t="shared" si="2"/>
        <v>5399.704481502225</v>
      </c>
      <c r="Q73" s="28">
        <f t="shared" si="2"/>
        <v>5266.978459078997</v>
      </c>
      <c r="R73" s="28">
        <f t="shared" si="2"/>
        <v>5128.763883001832</v>
      </c>
      <c r="S73" s="28">
        <f t="shared" si="2"/>
        <v>4986.29923713252</v>
      </c>
      <c r="T73" s="28">
        <f t="shared" si="2"/>
        <v>4858.428187206482</v>
      </c>
      <c r="U73" s="28">
        <f t="shared" si="2"/>
        <v>4742.952997657143</v>
      </c>
      <c r="V73" s="28">
        <f t="shared" si="2"/>
        <v>4638.121197069198</v>
      </c>
      <c r="W73" s="28">
        <f t="shared" si="2"/>
        <v>4548.628845124218</v>
      </c>
      <c r="X73" s="28">
        <f t="shared" si="2"/>
        <v>4472.650510062861</v>
      </c>
      <c r="Y73" s="28">
        <f t="shared" si="2"/>
        <v>4408.689048959644</v>
      </c>
      <c r="Z73" s="28">
        <f t="shared" si="2"/>
        <v>4355.507797157014</v>
      </c>
      <c r="AA73" s="28">
        <f t="shared" si="2"/>
        <v>4312.079472796642</v>
      </c>
      <c r="AB73" s="28">
        <f t="shared" si="2"/>
        <v>4277.54714486464</v>
      </c>
      <c r="AC73" s="28">
        <f t="shared" si="2"/>
        <v>4251.194059249884</v>
      </c>
      <c r="AD73" s="28">
        <f t="shared" si="2"/>
        <v>4232.420070948578</v>
      </c>
      <c r="AE73" s="28">
        <f t="shared" si="2"/>
        <v>4220.723073276509</v>
      </c>
      <c r="AF73" s="28">
        <f t="shared" si="2"/>
        <v>4215.684256645158</v>
      </c>
      <c r="AG73" s="12">
        <f>AF73/I67</f>
        <v>0.7047227138229043</v>
      </c>
    </row>
    <row r="74" spans="1:32" s="45" customFormat="1" ht="11.25">
      <c r="A74" s="45" t="s">
        <v>119</v>
      </c>
      <c r="G74" s="47"/>
      <c r="I74" s="85"/>
      <c r="J74" s="48">
        <f>Electricity!J60</f>
        <v>2362.13180395243</v>
      </c>
      <c r="K74" s="48">
        <f>Electricity!K60</f>
        <v>2304.9813433561026</v>
      </c>
      <c r="L74" s="48">
        <f>Electricity!L60</f>
        <v>2240.8821167830306</v>
      </c>
      <c r="M74" s="48">
        <f>Electricity!M60</f>
        <v>2171.3644697202853</v>
      </c>
      <c r="N74" s="48">
        <f>Electricity!N60</f>
        <v>2097.772037225778</v>
      </c>
      <c r="O74" s="48">
        <f>Electricity!O60</f>
        <v>2021.277608399585</v>
      </c>
      <c r="P74" s="48">
        <f>Electricity!P60</f>
        <v>1942.898174501953</v>
      </c>
      <c r="Q74" s="48">
        <f>Electricity!Q60</f>
        <v>1863.509267249567</v>
      </c>
      <c r="R74" s="48">
        <f>Electricity!R60</f>
        <v>1783.8585969622443</v>
      </c>
      <c r="S74" s="48">
        <f>Electricity!S60</f>
        <v>1704.5789616107513</v>
      </c>
      <c r="T74" s="48">
        <f>Electricity!T60</f>
        <v>1633.927426722622</v>
      </c>
      <c r="U74" s="48">
        <f>Electricity!U60</f>
        <v>1570.4708558794148</v>
      </c>
      <c r="V74" s="48">
        <f>Electricity!V60</f>
        <v>1513.0866525408514</v>
      </c>
      <c r="W74" s="48">
        <f>Electricity!W60</f>
        <v>1462.6337785289377</v>
      </c>
      <c r="X74" s="48">
        <f>Electricity!X60</f>
        <v>1418.0630767452783</v>
      </c>
      <c r="Y74" s="48">
        <f>Electricity!Y60</f>
        <v>1378.5210156077371</v>
      </c>
      <c r="Z74" s="48">
        <f>Electricity!Z60</f>
        <v>1343.3056181905706</v>
      </c>
      <c r="AA74" s="48">
        <f>Electricity!AA60</f>
        <v>1311.8338395482767</v>
      </c>
      <c r="AB74" s="48">
        <f>Electricity!AB60</f>
        <v>1283.6170462210844</v>
      </c>
      <c r="AC74" s="48">
        <f>Electricity!AC60</f>
        <v>1258.2423328098766</v>
      </c>
      <c r="AD74" s="48">
        <f>Electricity!AD60</f>
        <v>1235.3581110784248</v>
      </c>
      <c r="AE74" s="48">
        <f>Electricity!AE60</f>
        <v>1214.6628713621033</v>
      </c>
      <c r="AF74" s="48">
        <f>Electricity!AF60</f>
        <v>1195.896329999559</v>
      </c>
    </row>
    <row r="75" spans="1:32" s="45" customFormat="1" ht="11.25">
      <c r="A75" s="45" t="s">
        <v>203</v>
      </c>
      <c r="G75" s="47"/>
      <c r="I75" s="85"/>
      <c r="J75" s="48">
        <f>Gasoline!J56</f>
        <v>1280.3368632275358</v>
      </c>
      <c r="K75" s="48">
        <f>Gasoline!K56</f>
        <v>1272.3155161635361</v>
      </c>
      <c r="L75" s="48">
        <f>Gasoline!L56</f>
        <v>1261.4259917683498</v>
      </c>
      <c r="M75" s="48">
        <f>Gasoline!M56</f>
        <v>1247.9289063646233</v>
      </c>
      <c r="N75" s="48">
        <f>Gasoline!N56</f>
        <v>1232.073017527636</v>
      </c>
      <c r="O75" s="48">
        <f>Gasoline!O56</f>
        <v>1214.0954771685892</v>
      </c>
      <c r="P75" s="48">
        <f>Gasoline!P56</f>
        <v>1194.2219923593232</v>
      </c>
      <c r="Q75" s="48">
        <f>Gasoline!Q56</f>
        <v>1172.6669423613525</v>
      </c>
      <c r="R75" s="48">
        <f>Gasoline!R56</f>
        <v>1149.6334831677896</v>
      </c>
      <c r="S75" s="48">
        <f>Gasoline!S56</f>
        <v>1125.3136593874117</v>
      </c>
      <c r="T75" s="48">
        <f>Gasoline!T56</f>
        <v>1102.8339051635376</v>
      </c>
      <c r="U75" s="48">
        <f>Gasoline!U56</f>
        <v>1081.9658553717381</v>
      </c>
      <c r="V75" s="48">
        <f>Gasoline!V56</f>
        <v>1062.5196471770334</v>
      </c>
      <c r="W75" s="48">
        <f>Gasoline!W56</f>
        <v>1045.6811179117394</v>
      </c>
      <c r="X75" s="48">
        <f>Gasoline!X56</f>
        <v>1031.2002975811758</v>
      </c>
      <c r="Y75" s="48">
        <f>Gasoline!Y56</f>
        <v>1018.8658378259838</v>
      </c>
      <c r="Z75" s="48">
        <f>Gasoline!Z56</f>
        <v>1008.4982362504611</v>
      </c>
      <c r="AA75" s="48">
        <f>Gasoline!AA56</f>
        <v>999.9444884649913</v>
      </c>
      <c r="AB75" s="48">
        <f>Gasoline!AB56</f>
        <v>993.0738248756916</v>
      </c>
      <c r="AC75" s="48">
        <f>Gasoline!AC56</f>
        <v>987.7742817981502</v>
      </c>
      <c r="AD75" s="48">
        <f>Gasoline!AD56</f>
        <v>983.9499214691502</v>
      </c>
      <c r="AE75" s="48">
        <f>Gasoline!AE56</f>
        <v>981.518561907297</v>
      </c>
      <c r="AF75" s="48">
        <f>Gasoline!AF56</f>
        <v>980.4099111426721</v>
      </c>
    </row>
    <row r="76" spans="1:32" s="45" customFormat="1" ht="11.25">
      <c r="A76" s="45" t="s">
        <v>257</v>
      </c>
      <c r="G76" s="47"/>
      <c r="I76" s="85"/>
      <c r="J76" s="48">
        <f>Aviation!J56</f>
        <v>263.41679374044656</v>
      </c>
      <c r="K76" s="48">
        <f>Aviation!K56</f>
        <v>268.06600267031996</v>
      </c>
      <c r="L76" s="48">
        <f>Aviation!L56</f>
        <v>271.60878819945276</v>
      </c>
      <c r="M76" s="48">
        <f>Aviation!M56</f>
        <v>274.0831051309907</v>
      </c>
      <c r="N76" s="48">
        <f>Aviation!N56</f>
        <v>275.5323277043633</v>
      </c>
      <c r="O76" s="48">
        <f>Aviation!O56</f>
        <v>276.0045227162771</v>
      </c>
      <c r="P76" s="48">
        <f>Aviation!P56</f>
        <v>275.55169320955355</v>
      </c>
      <c r="Q76" s="48">
        <f>Aviation!Q56</f>
        <v>274.22901996571284</v>
      </c>
      <c r="R76" s="48">
        <f>Aviation!R56</f>
        <v>272.09412013679196</v>
      </c>
      <c r="S76" s="48">
        <f>Aviation!S56</f>
        <v>269.20633683725885</v>
      </c>
      <c r="T76" s="48">
        <f>Aviation!T56</f>
        <v>266.99375937627826</v>
      </c>
      <c r="U76" s="48">
        <f>Aviation!U56</f>
        <v>265.362699538118</v>
      </c>
      <c r="V76" s="48">
        <f>Aviation!V56</f>
        <v>264.23901510130736</v>
      </c>
      <c r="W76" s="48">
        <f>Aviation!W56</f>
        <v>264.19076895464957</v>
      </c>
      <c r="X76" s="48">
        <f>Aviation!X56</f>
        <v>265.14686011475186</v>
      </c>
      <c r="Y76" s="48">
        <f>Aviation!Y56</f>
        <v>267.055788583812</v>
      </c>
      <c r="Z76" s="48">
        <f>Aviation!Z56</f>
        <v>269.8822085685931</v>
      </c>
      <c r="AA76" s="48">
        <f>Aviation!AA56</f>
        <v>273.6043972416699</v>
      </c>
      <c r="AB76" s="48">
        <f>Aviation!AB56</f>
        <v>278.2123934459966</v>
      </c>
      <c r="AC76" s="48">
        <f>Aviation!AC56</f>
        <v>283.70663703999827</v>
      </c>
      <c r="AD76" s="48">
        <f>Aviation!AD56</f>
        <v>290.09699037657225</v>
      </c>
      <c r="AE76" s="48">
        <f>Aviation!AE56</f>
        <v>297.4020579589309</v>
      </c>
      <c r="AF76" s="48">
        <f>Aviation!AF56</f>
        <v>305.6487442883093</v>
      </c>
    </row>
    <row r="77" spans="1:32" s="45" customFormat="1" ht="11.25">
      <c r="A77" s="45" t="s">
        <v>121</v>
      </c>
      <c r="G77" s="47"/>
      <c r="I77" s="85"/>
      <c r="J77" s="48">
        <f>Other!J58</f>
        <v>2085.9800984176027</v>
      </c>
      <c r="K77" s="48">
        <f>Other!K58</f>
        <v>2081.595460633361</v>
      </c>
      <c r="L77" s="48">
        <f>Other!L58</f>
        <v>2071.772990595855</v>
      </c>
      <c r="M77" s="48">
        <f>Other!M58</f>
        <v>2056.9708763224558</v>
      </c>
      <c r="N77" s="48">
        <f>Other!N58</f>
        <v>2037.6319376226684</v>
      </c>
      <c r="O77" s="48">
        <f>Other!O58</f>
        <v>2014.1827139306902</v>
      </c>
      <c r="P77" s="48">
        <f>Other!P58</f>
        <v>1987.032621431395</v>
      </c>
      <c r="Q77" s="48">
        <f>Other!Q58</f>
        <v>1956.573229502364</v>
      </c>
      <c r="R77" s="48">
        <f>Other!R58</f>
        <v>1923.1776827350066</v>
      </c>
      <c r="S77" s="48">
        <f>Other!S58</f>
        <v>1887.2002792970986</v>
      </c>
      <c r="T77" s="48">
        <f>Other!T58</f>
        <v>1854.673095944044</v>
      </c>
      <c r="U77" s="48">
        <f>Other!U58</f>
        <v>1825.153586867872</v>
      </c>
      <c r="V77" s="48">
        <f>Other!V58</f>
        <v>1798.2758822500061</v>
      </c>
      <c r="W77" s="48">
        <f>Other!W58</f>
        <v>1776.1231797288913</v>
      </c>
      <c r="X77" s="48">
        <f>Other!X58</f>
        <v>1758.2402756216554</v>
      </c>
      <c r="Y77" s="48">
        <f>Other!Y58</f>
        <v>1744.246406942112</v>
      </c>
      <c r="Z77" s="48">
        <f>Other!Z58</f>
        <v>1733.8217341473887</v>
      </c>
      <c r="AA77" s="48">
        <f>Other!AA58</f>
        <v>1726.6967475417046</v>
      </c>
      <c r="AB77" s="48">
        <f>Other!AB58</f>
        <v>1722.6438803218684</v>
      </c>
      <c r="AC77" s="48">
        <f>Other!AC58</f>
        <v>1721.4708076018585</v>
      </c>
      <c r="AD77" s="48">
        <f>Other!AD58</f>
        <v>1723.0150480244304</v>
      </c>
      <c r="AE77" s="48">
        <f>Other!AE58</f>
        <v>1727.1395820481782</v>
      </c>
      <c r="AF77" s="48">
        <f>Other!AF58</f>
        <v>1733.729271214617</v>
      </c>
    </row>
    <row r="78" spans="7:32" s="45" customFormat="1" ht="11.25">
      <c r="G78" s="47"/>
      <c r="I78" s="85"/>
      <c r="J78" s="49"/>
      <c r="K78" s="49"/>
      <c r="L78" s="49"/>
      <c r="M78" s="49"/>
      <c r="N78" s="49"/>
      <c r="O78" s="49"/>
      <c r="P78" s="49"/>
      <c r="Q78" s="49"/>
      <c r="R78" s="49"/>
      <c r="S78" s="49"/>
      <c r="T78" s="49"/>
      <c r="U78" s="49"/>
      <c r="V78" s="49"/>
      <c r="W78" s="49"/>
      <c r="X78" s="49"/>
      <c r="Y78" s="49"/>
      <c r="Z78" s="49"/>
      <c r="AA78" s="49"/>
      <c r="AB78" s="49"/>
      <c r="AC78" s="49"/>
      <c r="AD78" s="49"/>
      <c r="AE78" s="49"/>
      <c r="AF78" s="49"/>
    </row>
    <row r="79" spans="1:33" s="9" customFormat="1" ht="12">
      <c r="A79" s="9" t="s">
        <v>151</v>
      </c>
      <c r="G79" s="27"/>
      <c r="I79" s="76"/>
      <c r="J79" s="29">
        <f>SUM(J80:J83)</f>
        <v>134.04140819635472</v>
      </c>
      <c r="K79" s="29">
        <f aca="true" t="shared" si="3" ref="K79:AF79">SUM(K80:K83)</f>
        <v>288.3272751210019</v>
      </c>
      <c r="L79" s="29">
        <f t="shared" si="3"/>
        <v>460.36952817158647</v>
      </c>
      <c r="M79" s="29">
        <f t="shared" si="3"/>
        <v>647.9049238258799</v>
      </c>
      <c r="N79" s="29">
        <f t="shared" si="3"/>
        <v>848.8791954060903</v>
      </c>
      <c r="O79" s="29">
        <f t="shared" si="3"/>
        <v>1061.4325846133431</v>
      </c>
      <c r="P79" s="29">
        <f t="shared" si="3"/>
        <v>1283.8862420594928</v>
      </c>
      <c r="Q79" s="29">
        <f t="shared" si="3"/>
        <v>1514.729264549872</v>
      </c>
      <c r="R79" s="29">
        <f t="shared" si="3"/>
        <v>1752.6062825444906</v>
      </c>
      <c r="S79" s="29">
        <f t="shared" si="3"/>
        <v>1996.3055823415218</v>
      </c>
      <c r="T79" s="29">
        <f t="shared" si="3"/>
        <v>2227.010791353143</v>
      </c>
      <c r="U79" s="29">
        <f t="shared" si="3"/>
        <v>2446.9474729068147</v>
      </c>
      <c r="V79" s="29">
        <f t="shared" si="3"/>
        <v>2657.8964727068897</v>
      </c>
      <c r="W79" s="29">
        <f t="shared" si="3"/>
        <v>2855.1906641008245</v>
      </c>
      <c r="X79" s="29">
        <f t="shared" si="3"/>
        <v>3040.6849831338104</v>
      </c>
      <c r="Y79" s="29">
        <f t="shared" si="3"/>
        <v>3215.906661104088</v>
      </c>
      <c r="Z79" s="29">
        <f t="shared" si="3"/>
        <v>3382.123048280682</v>
      </c>
      <c r="AA79" s="29">
        <f t="shared" si="3"/>
        <v>3540.392722854332</v>
      </c>
      <c r="AB79" s="29">
        <f t="shared" si="3"/>
        <v>3691.6045367139504</v>
      </c>
      <c r="AC79" s="29">
        <f t="shared" si="3"/>
        <v>3836.507803558564</v>
      </c>
      <c r="AD79" s="29">
        <f t="shared" si="3"/>
        <v>3975.735881221134</v>
      </c>
      <c r="AE79" s="29">
        <f t="shared" si="3"/>
        <v>4109.824757352564</v>
      </c>
      <c r="AF79" s="29">
        <f t="shared" si="3"/>
        <v>4239.227805919726</v>
      </c>
      <c r="AG79" s="29"/>
    </row>
    <row r="80" spans="1:32" ht="11.25">
      <c r="A80" s="45" t="s">
        <v>119</v>
      </c>
      <c r="J80" s="49">
        <f>J68-J74</f>
        <v>84.62663506421814</v>
      </c>
      <c r="K80" s="49">
        <f aca="true" t="shared" si="4" ref="K80:AF80">K68-K74</f>
        <v>178.47847224579436</v>
      </c>
      <c r="L80" s="49">
        <f t="shared" si="4"/>
        <v>279.82959605289443</v>
      </c>
      <c r="M80" s="49">
        <f t="shared" si="4"/>
        <v>387.1579188081787</v>
      </c>
      <c r="N80" s="49">
        <f t="shared" si="4"/>
        <v>499.1281871306128</v>
      </c>
      <c r="O80" s="49">
        <f t="shared" si="4"/>
        <v>614.576119322151</v>
      </c>
      <c r="P80" s="49">
        <f t="shared" si="4"/>
        <v>732.4933591356087</v>
      </c>
      <c r="Q80" s="49">
        <f t="shared" si="4"/>
        <v>852.0131393925576</v>
      </c>
      <c r="R80" s="49">
        <f t="shared" si="4"/>
        <v>972.396645779512</v>
      </c>
      <c r="S80" s="49">
        <f t="shared" si="4"/>
        <v>1093.020109772131</v>
      </c>
      <c r="T80" s="49">
        <f t="shared" si="4"/>
        <v>1205.6356307310039</v>
      </c>
      <c r="U80" s="49">
        <f t="shared" si="4"/>
        <v>1311.685647436014</v>
      </c>
      <c r="V80" s="49">
        <f t="shared" si="4"/>
        <v>1412.3021983243088</v>
      </c>
      <c r="W80" s="49">
        <f t="shared" si="4"/>
        <v>1506.6359050991994</v>
      </c>
      <c r="X80" s="49">
        <f t="shared" si="4"/>
        <v>1595.7456521372803</v>
      </c>
      <c r="Y80" s="49">
        <f t="shared" si="4"/>
        <v>1680.4948442080588</v>
      </c>
      <c r="Z80" s="49">
        <f t="shared" si="4"/>
        <v>1761.5954795224623</v>
      </c>
      <c r="AA80" s="49">
        <f t="shared" si="4"/>
        <v>1839.640774630452</v>
      </c>
      <c r="AB80" s="49">
        <f t="shared" si="4"/>
        <v>1915.1296871703244</v>
      </c>
      <c r="AC80" s="49">
        <f t="shared" si="4"/>
        <v>1988.4856015824025</v>
      </c>
      <c r="AD80" s="49">
        <f t="shared" si="4"/>
        <v>2060.0707423297376</v>
      </c>
      <c r="AE80" s="49">
        <f t="shared" si="4"/>
        <v>2130.197414847182</v>
      </c>
      <c r="AF80" s="49">
        <f t="shared" si="4"/>
        <v>2199.136860502865</v>
      </c>
    </row>
    <row r="81" spans="1:33" s="45" customFormat="1" ht="11.25">
      <c r="A81" s="45" t="s">
        <v>203</v>
      </c>
      <c r="G81" s="47"/>
      <c r="I81" s="85"/>
      <c r="J81" s="49">
        <f>J69-J75</f>
        <v>17.732446210764465</v>
      </c>
      <c r="K81" s="49">
        <f aca="true" t="shared" si="5" ref="K81:AF81">K69-K75</f>
        <v>38.734486369147135</v>
      </c>
      <c r="L81" s="49">
        <f t="shared" si="5"/>
        <v>62.73451078965991</v>
      </c>
      <c r="M81" s="49">
        <f t="shared" si="5"/>
        <v>89.47320121896655</v>
      </c>
      <c r="N81" s="49">
        <f t="shared" si="5"/>
        <v>118.70311113178991</v>
      </c>
      <c r="O81" s="49">
        <f t="shared" si="5"/>
        <v>150.1884127774308</v>
      </c>
      <c r="P81" s="49">
        <f t="shared" si="5"/>
        <v>183.70473648615712</v>
      </c>
      <c r="Q81" s="49">
        <f t="shared" si="5"/>
        <v>219.03905377258252</v>
      </c>
      <c r="R81" s="49">
        <f t="shared" si="5"/>
        <v>255.98957292748491</v>
      </c>
      <c r="S81" s="49">
        <f t="shared" si="5"/>
        <v>294.3656272688154</v>
      </c>
      <c r="T81" s="49">
        <f t="shared" si="5"/>
        <v>331.04217435925193</v>
      </c>
      <c r="U81" s="49">
        <f t="shared" si="5"/>
        <v>366.24898494627905</v>
      </c>
      <c r="V81" s="49">
        <f t="shared" si="5"/>
        <v>400.17734154416394</v>
      </c>
      <c r="W81" s="49">
        <f t="shared" si="5"/>
        <v>431.64284069666996</v>
      </c>
      <c r="X81" s="49">
        <f t="shared" si="5"/>
        <v>460.8969006133177</v>
      </c>
      <c r="Y81" s="49">
        <f t="shared" si="5"/>
        <v>488.15233235045457</v>
      </c>
      <c r="Z81" s="49">
        <f t="shared" si="5"/>
        <v>513.5901156277416</v>
      </c>
      <c r="AA81" s="49">
        <f t="shared" si="5"/>
        <v>537.3647469319935</v>
      </c>
      <c r="AB81" s="49">
        <f t="shared" si="5"/>
        <v>559.6085028752634</v>
      </c>
      <c r="AC81" s="49">
        <f t="shared" si="5"/>
        <v>580.434869230314</v>
      </c>
      <c r="AD81" s="49">
        <f t="shared" si="5"/>
        <v>599.9413210695991</v>
      </c>
      <c r="AE81" s="49">
        <f t="shared" si="5"/>
        <v>618.2115930568395</v>
      </c>
      <c r="AF81" s="49">
        <f t="shared" si="5"/>
        <v>635.3175453711061</v>
      </c>
      <c r="AG81" s="49"/>
    </row>
    <row r="82" spans="1:256" s="45" customFormat="1" ht="11.25">
      <c r="A82" s="45" t="s">
        <v>257</v>
      </c>
      <c r="G82" s="47"/>
      <c r="I82" s="85"/>
      <c r="J82" s="49">
        <f>J70-J76</f>
        <v>1.9413692014752542</v>
      </c>
      <c r="K82" s="49">
        <f aca="true" t="shared" si="6" ref="K82:AF82">K70-K76</f>
        <v>5.2529051598595515</v>
      </c>
      <c r="L82" s="49">
        <f t="shared" si="6"/>
        <v>9.909686865632125</v>
      </c>
      <c r="M82" s="49">
        <f t="shared" si="6"/>
        <v>15.880924186046798</v>
      </c>
      <c r="N82" s="49">
        <f t="shared" si="6"/>
        <v>23.130622492185296</v>
      </c>
      <c r="O82" s="49">
        <f t="shared" si="6"/>
        <v>31.618315986168</v>
      </c>
      <c r="P82" s="49">
        <f t="shared" si="6"/>
        <v>41.299830653964875</v>
      </c>
      <c r="Q82" s="49">
        <f t="shared" si="6"/>
        <v>52.12804961371114</v>
      </c>
      <c r="R82" s="49">
        <f t="shared" si="6"/>
        <v>64.05366153001478</v>
      </c>
      <c r="S82" s="49">
        <f t="shared" si="6"/>
        <v>77.0258782795521</v>
      </c>
      <c r="T82" s="49">
        <f t="shared" si="6"/>
        <v>89.62542219403701</v>
      </c>
      <c r="U82" s="49">
        <f t="shared" si="6"/>
        <v>101.95505747930667</v>
      </c>
      <c r="V82" s="49">
        <f t="shared" si="6"/>
        <v>114.09827462664009</v>
      </c>
      <c r="W82" s="49">
        <f t="shared" si="6"/>
        <v>125.49663946513635</v>
      </c>
      <c r="X82" s="49">
        <f t="shared" si="6"/>
        <v>136.23117055762765</v>
      </c>
      <c r="Y82" s="49">
        <f t="shared" si="6"/>
        <v>146.36358300873889</v>
      </c>
      <c r="Z82" s="49">
        <f t="shared" si="6"/>
        <v>155.9397441717344</v>
      </c>
      <c r="AA82" s="49">
        <f t="shared" si="6"/>
        <v>164.99221408086743</v>
      </c>
      <c r="AB82" s="49">
        <f t="shared" si="6"/>
        <v>173.5421162162168</v>
      </c>
      <c r="AC82" s="49">
        <f t="shared" si="6"/>
        <v>181.60050791208153</v>
      </c>
      <c r="AD82" s="49">
        <f t="shared" si="6"/>
        <v>189.16936892407</v>
      </c>
      <c r="AE82" s="49">
        <f t="shared" si="6"/>
        <v>196.24229212073055</v>
      </c>
      <c r="AF82" s="49">
        <f t="shared" si="6"/>
        <v>202.80493629374212</v>
      </c>
      <c r="AG82" s="49"/>
      <c r="IV82" s="49"/>
    </row>
    <row r="83" spans="1:33" s="45" customFormat="1" ht="11.25">
      <c r="A83" s="45" t="s">
        <v>121</v>
      </c>
      <c r="G83" s="47"/>
      <c r="I83" s="85"/>
      <c r="J83" s="49">
        <f>J71-J77</f>
        <v>29.74095771989687</v>
      </c>
      <c r="K83" s="49">
        <f aca="true" t="shared" si="7" ref="K83:AF83">K71-K77</f>
        <v>65.86141134620084</v>
      </c>
      <c r="L83" s="49">
        <f t="shared" si="7"/>
        <v>107.8957344634</v>
      </c>
      <c r="M83" s="49">
        <f t="shared" si="7"/>
        <v>155.39287961268792</v>
      </c>
      <c r="N83" s="49">
        <f t="shared" si="7"/>
        <v>207.91727465150234</v>
      </c>
      <c r="O83" s="49">
        <f t="shared" si="7"/>
        <v>265.04973652759327</v>
      </c>
      <c r="P83" s="49">
        <f t="shared" si="7"/>
        <v>326.3883157837622</v>
      </c>
      <c r="Q83" s="49">
        <f t="shared" si="7"/>
        <v>391.54902177102076</v>
      </c>
      <c r="R83" s="49">
        <f t="shared" si="7"/>
        <v>460.16640230747885</v>
      </c>
      <c r="S83" s="49">
        <f t="shared" si="7"/>
        <v>531.8939670210232</v>
      </c>
      <c r="T83" s="49">
        <f t="shared" si="7"/>
        <v>600.7075640688502</v>
      </c>
      <c r="U83" s="49">
        <f t="shared" si="7"/>
        <v>667.0577830452148</v>
      </c>
      <c r="V83" s="49">
        <f t="shared" si="7"/>
        <v>731.3186582117771</v>
      </c>
      <c r="W83" s="49">
        <f t="shared" si="7"/>
        <v>791.4152788398185</v>
      </c>
      <c r="X83" s="49">
        <f t="shared" si="7"/>
        <v>847.8112598255846</v>
      </c>
      <c r="Y83" s="49">
        <f t="shared" si="7"/>
        <v>900.8959015368362</v>
      </c>
      <c r="Z83" s="49">
        <f t="shared" si="7"/>
        <v>950.9977089587437</v>
      </c>
      <c r="AA83" s="49">
        <f t="shared" si="7"/>
        <v>998.3949872110193</v>
      </c>
      <c r="AB83" s="49">
        <f t="shared" si="7"/>
        <v>1043.324230452146</v>
      </c>
      <c r="AC83" s="49">
        <f t="shared" si="7"/>
        <v>1085.986824833766</v>
      </c>
      <c r="AD83" s="49">
        <f t="shared" si="7"/>
        <v>1126.5544488977278</v>
      </c>
      <c r="AE83" s="49">
        <f t="shared" si="7"/>
        <v>1165.173457327812</v>
      </c>
      <c r="AF83" s="49">
        <f t="shared" si="7"/>
        <v>1201.968463752013</v>
      </c>
      <c r="AG83" s="49"/>
    </row>
    <row r="84" spans="7:32" s="45" customFormat="1" ht="11.25">
      <c r="G84" s="47"/>
      <c r="I84" s="85"/>
      <c r="J84" s="48"/>
      <c r="K84" s="48"/>
      <c r="L84" s="48"/>
      <c r="M84" s="48"/>
      <c r="N84" s="48"/>
      <c r="O84" s="48"/>
      <c r="P84" s="48"/>
      <c r="Q84" s="48"/>
      <c r="R84" s="48"/>
      <c r="S84" s="48"/>
      <c r="T84" s="48"/>
      <c r="U84" s="48"/>
      <c r="V84" s="48"/>
      <c r="W84" s="48"/>
      <c r="X84" s="48"/>
      <c r="Y84" s="48"/>
      <c r="Z84" s="48"/>
      <c r="AA84" s="48"/>
      <c r="AB84" s="48"/>
      <c r="AC84" s="48"/>
      <c r="AD84" s="48"/>
      <c r="AE84" s="48"/>
      <c r="AF84" s="48"/>
    </row>
    <row r="85" spans="1:33" s="45" customFormat="1" ht="12">
      <c r="A85" s="9" t="s">
        <v>20</v>
      </c>
      <c r="G85" s="47"/>
      <c r="I85" s="85"/>
      <c r="J85" s="38">
        <f aca="true" t="shared" si="8" ref="J85:AF85">J79/J67</f>
        <v>0.02188107147345487</v>
      </c>
      <c r="K85" s="38">
        <f t="shared" si="8"/>
        <v>0.046390028354668836</v>
      </c>
      <c r="L85" s="38">
        <f t="shared" si="8"/>
        <v>0.07300431185895355</v>
      </c>
      <c r="M85" s="38">
        <f t="shared" si="8"/>
        <v>0.10126279729747287</v>
      </c>
      <c r="N85" s="38">
        <f t="shared" si="8"/>
        <v>0.13075997737500747</v>
      </c>
      <c r="O85" s="38">
        <f t="shared" si="8"/>
        <v>0.16114069039196877</v>
      </c>
      <c r="P85" s="38">
        <f t="shared" si="8"/>
        <v>0.19209528158769476</v>
      </c>
      <c r="Q85" s="38">
        <f t="shared" si="8"/>
        <v>0.2233551380093015</v>
      </c>
      <c r="R85" s="38">
        <f t="shared" si="8"/>
        <v>0.2546885635246667</v>
      </c>
      <c r="S85" s="38">
        <f t="shared" si="8"/>
        <v>0.2858969731143816</v>
      </c>
      <c r="T85" s="38">
        <f t="shared" si="8"/>
        <v>0.31430808988575387</v>
      </c>
      <c r="U85" s="38">
        <f t="shared" si="8"/>
        <v>0.34033120248671295</v>
      </c>
      <c r="V85" s="38">
        <f t="shared" si="8"/>
        <v>0.36429413866653354</v>
      </c>
      <c r="W85" s="38">
        <f t="shared" si="8"/>
        <v>0.38563752945939617</v>
      </c>
      <c r="X85" s="38">
        <f t="shared" si="8"/>
        <v>0.4047050721862683</v>
      </c>
      <c r="Y85" s="38">
        <f t="shared" si="8"/>
        <v>0.4217806141326812</v>
      </c>
      <c r="Z85" s="38">
        <f t="shared" si="8"/>
        <v>0.4371005952390282</v>
      </c>
      <c r="AA85" s="38">
        <f t="shared" si="8"/>
        <v>0.4508634522533106</v>
      </c>
      <c r="AB85" s="38">
        <f t="shared" si="8"/>
        <v>0.4632368267311846</v>
      </c>
      <c r="AC85" s="38">
        <f t="shared" si="8"/>
        <v>0.47436315885985686</v>
      </c>
      <c r="AD85" s="38">
        <f t="shared" si="8"/>
        <v>0.4843640769483922</v>
      </c>
      <c r="AE85" s="38">
        <f t="shared" si="8"/>
        <v>0.4933438761664508</v>
      </c>
      <c r="AF85" s="38">
        <f t="shared" si="8"/>
        <v>0.501392300067721</v>
      </c>
      <c r="AG85" s="49"/>
    </row>
    <row r="86" spans="1:33" s="45" customFormat="1" ht="6" customHeight="1">
      <c r="A86" s="9"/>
      <c r="G86" s="47"/>
      <c r="I86" s="85"/>
      <c r="J86" s="38"/>
      <c r="K86" s="38"/>
      <c r="L86" s="38"/>
      <c r="M86" s="38"/>
      <c r="N86" s="38"/>
      <c r="O86" s="38"/>
      <c r="P86" s="38"/>
      <c r="Q86" s="38"/>
      <c r="R86" s="38"/>
      <c r="S86" s="38"/>
      <c r="T86" s="38"/>
      <c r="U86" s="38"/>
      <c r="V86" s="38"/>
      <c r="W86" s="49"/>
      <c r="X86" s="49"/>
      <c r="Y86" s="49"/>
      <c r="Z86" s="49"/>
      <c r="AA86" s="49"/>
      <c r="AB86" s="49"/>
      <c r="AC86" s="49"/>
      <c r="AD86" s="49"/>
      <c r="AE86" s="49"/>
      <c r="AF86" s="49"/>
      <c r="AG86" s="49"/>
    </row>
    <row r="87" spans="1:33" s="45" customFormat="1" ht="12">
      <c r="A87" s="9" t="s">
        <v>21</v>
      </c>
      <c r="G87" s="47"/>
      <c r="I87" s="85"/>
      <c r="J87" s="38">
        <f>J85^(1/(J65-$J65+1))</f>
        <v>0.02188107147345487</v>
      </c>
      <c r="K87" s="38">
        <f aca="true" t="shared" si="9" ref="K87:AF87">1-(1-K85)^(1/(K65-$J65+1))</f>
        <v>0.02347044507330398</v>
      </c>
      <c r="L87" s="38">
        <f t="shared" si="9"/>
        <v>0.02495220461658687</v>
      </c>
      <c r="M87" s="38">
        <f t="shared" si="9"/>
        <v>0.02633809162925327</v>
      </c>
      <c r="N87" s="38">
        <f t="shared" si="9"/>
        <v>0.027638079138769145</v>
      </c>
      <c r="O87" s="38">
        <f t="shared" si="9"/>
        <v>0.028860717963839377</v>
      </c>
      <c r="P87" s="38">
        <f t="shared" si="9"/>
        <v>0.0300133994567654</v>
      </c>
      <c r="Q87" s="38">
        <f t="shared" si="9"/>
        <v>0.03110255830988662</v>
      </c>
      <c r="R87" s="38">
        <f t="shared" si="9"/>
        <v>0.03213383149005733</v>
      </c>
      <c r="S87" s="38">
        <f t="shared" si="9"/>
        <v>0.033112184484502594</v>
      </c>
      <c r="T87" s="38">
        <f t="shared" si="9"/>
        <v>0.03372078304576609</v>
      </c>
      <c r="U87" s="38">
        <f t="shared" si="9"/>
        <v>0.0340740615585301</v>
      </c>
      <c r="V87" s="38">
        <f t="shared" si="9"/>
        <v>0.034247451763879</v>
      </c>
      <c r="W87" s="38">
        <f t="shared" si="9"/>
        <v>0.034199386338837234</v>
      </c>
      <c r="X87" s="38">
        <f t="shared" si="9"/>
        <v>0.03398883604747427</v>
      </c>
      <c r="Y87" s="38">
        <f t="shared" si="9"/>
        <v>0.03365814491851682</v>
      </c>
      <c r="Z87" s="38">
        <f t="shared" si="9"/>
        <v>0.03323825218467502</v>
      </c>
      <c r="AA87" s="38">
        <f t="shared" si="9"/>
        <v>0.03275209626068143</v>
      </c>
      <c r="AB87" s="38">
        <f t="shared" si="9"/>
        <v>0.0322168921412489</v>
      </c>
      <c r="AC87" s="38">
        <f t="shared" si="9"/>
        <v>0.03164569008760976</v>
      </c>
      <c r="AD87" s="38">
        <f t="shared" si="9"/>
        <v>0.031048463973564977</v>
      </c>
      <c r="AE87" s="38">
        <f t="shared" si="9"/>
        <v>0.030432884817870764</v>
      </c>
      <c r="AF87" s="38">
        <f t="shared" si="9"/>
        <v>0.02980487933331255</v>
      </c>
      <c r="AG87" s="49"/>
    </row>
    <row r="88" spans="1:33" s="45" customFormat="1" ht="12">
      <c r="A88" s="9"/>
      <c r="G88" s="47"/>
      <c r="I88" s="85"/>
      <c r="J88" s="38"/>
      <c r="K88" s="38"/>
      <c r="L88" s="38"/>
      <c r="M88" s="38"/>
      <c r="N88" s="38"/>
      <c r="O88" s="38"/>
      <c r="P88" s="38"/>
      <c r="Q88" s="38"/>
      <c r="R88" s="38"/>
      <c r="S88" s="38"/>
      <c r="T88" s="38"/>
      <c r="U88" s="38"/>
      <c r="V88" s="38"/>
      <c r="W88" s="38"/>
      <c r="X88" s="49"/>
      <c r="Y88" s="49"/>
      <c r="Z88" s="49"/>
      <c r="AA88" s="49"/>
      <c r="AB88" s="49"/>
      <c r="AC88" s="49"/>
      <c r="AD88" s="49"/>
      <c r="AE88" s="49"/>
      <c r="AF88" s="49"/>
      <c r="AG88" s="49"/>
    </row>
    <row r="89" spans="1:33" s="45" customFormat="1" ht="12">
      <c r="A89" s="9" t="s">
        <v>258</v>
      </c>
      <c r="G89" s="47"/>
      <c r="I89" s="85"/>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s="45" customFormat="1" ht="11.25">
      <c r="A90" s="45" t="s">
        <v>119</v>
      </c>
      <c r="G90" s="47"/>
      <c r="I90" s="85"/>
      <c r="J90" s="50">
        <f aca="true" t="shared" si="10" ref="J90:AF90">J80/J$79</f>
        <v>0.6313469561603693</v>
      </c>
      <c r="K90" s="50">
        <f t="shared" si="10"/>
        <v>0.6190134879570188</v>
      </c>
      <c r="L90" s="50">
        <f t="shared" si="10"/>
        <v>0.6078369199722485</v>
      </c>
      <c r="M90" s="50">
        <f t="shared" si="10"/>
        <v>0.5975535986391497</v>
      </c>
      <c r="N90" s="50">
        <f t="shared" si="10"/>
        <v>0.5879849451273662</v>
      </c>
      <c r="O90" s="50">
        <f t="shared" si="10"/>
        <v>0.579006267784805</v>
      </c>
      <c r="P90" s="50">
        <f t="shared" si="10"/>
        <v>0.5705282408514712</v>
      </c>
      <c r="Q90" s="50">
        <f t="shared" si="10"/>
        <v>0.5624854284740766</v>
      </c>
      <c r="R90" s="50">
        <f t="shared" si="10"/>
        <v>0.5548289170615975</v>
      </c>
      <c r="S90" s="50">
        <f t="shared" si="10"/>
        <v>0.5475214413266819</v>
      </c>
      <c r="T90" s="50">
        <f t="shared" si="10"/>
        <v>0.5413694605397281</v>
      </c>
      <c r="U90" s="50">
        <f t="shared" si="10"/>
        <v>0.5360497771036403</v>
      </c>
      <c r="V90" s="50">
        <f t="shared" si="10"/>
        <v>0.5313608761013832</v>
      </c>
      <c r="W90" s="50">
        <f t="shared" si="10"/>
        <v>0.5276831155420155</v>
      </c>
      <c r="X90" s="50">
        <f t="shared" si="10"/>
        <v>0.524798083651751</v>
      </c>
      <c r="Y90" s="50">
        <f t="shared" si="10"/>
        <v>0.5225570954945283</v>
      </c>
      <c r="Z90" s="50">
        <f t="shared" si="10"/>
        <v>0.5208549347185868</v>
      </c>
      <c r="AA90" s="50">
        <f t="shared" si="10"/>
        <v>0.5196148898270524</v>
      </c>
      <c r="AB90" s="50">
        <f t="shared" si="10"/>
        <v>0.5187797523065838</v>
      </c>
      <c r="AC90" s="50">
        <f t="shared" si="10"/>
        <v>0.5183061532516569</v>
      </c>
      <c r="AD90" s="50">
        <f t="shared" si="10"/>
        <v>0.5181608647747983</v>
      </c>
      <c r="AE90" s="50">
        <f t="shared" si="10"/>
        <v>0.5183183081069851</v>
      </c>
      <c r="AF90" s="50">
        <f t="shared" si="10"/>
        <v>0.5187588308965031</v>
      </c>
      <c r="AG90" s="49"/>
    </row>
    <row r="91" spans="1:33" s="45" customFormat="1" ht="11.25">
      <c r="A91" s="45" t="s">
        <v>204</v>
      </c>
      <c r="G91" s="47"/>
      <c r="I91" s="85"/>
      <c r="J91" s="50">
        <f aca="true" t="shared" si="11" ref="J91:AF91">J81/J$79</f>
        <v>0.13229080811198685</v>
      </c>
      <c r="K91" s="50">
        <f t="shared" si="11"/>
        <v>0.13434208176417403</v>
      </c>
      <c r="L91" s="50">
        <f t="shared" si="11"/>
        <v>0.13626990265584615</v>
      </c>
      <c r="M91" s="50">
        <f t="shared" si="11"/>
        <v>0.13809618962397618</v>
      </c>
      <c r="N91" s="50">
        <f t="shared" si="11"/>
        <v>0.13983510465821256</v>
      </c>
      <c r="O91" s="50">
        <f t="shared" si="11"/>
        <v>0.14149595080703237</v>
      </c>
      <c r="P91" s="50">
        <f t="shared" si="11"/>
        <v>0.14308490150301384</v>
      </c>
      <c r="Q91" s="50">
        <f t="shared" si="11"/>
        <v>0.14460607509136214</v>
      </c>
      <c r="R91" s="50">
        <f t="shared" si="11"/>
        <v>0.14606222485738837</v>
      </c>
      <c r="S91" s="50">
        <f t="shared" si="11"/>
        <v>0.14745519417099753</v>
      </c>
      <c r="T91" s="50">
        <f t="shared" si="11"/>
        <v>0.14864866198430454</v>
      </c>
      <c r="U91" s="50">
        <f t="shared" si="11"/>
        <v>0.1496758671779738</v>
      </c>
      <c r="V91" s="50">
        <f t="shared" si="11"/>
        <v>0.15056167373464704</v>
      </c>
      <c r="W91" s="50">
        <f t="shared" si="11"/>
        <v>0.15117828946551481</v>
      </c>
      <c r="X91" s="50">
        <f t="shared" si="11"/>
        <v>0.1515766687999048</v>
      </c>
      <c r="Y91" s="50">
        <f t="shared" si="11"/>
        <v>0.15179306609068738</v>
      </c>
      <c r="Z91" s="50">
        <f t="shared" si="11"/>
        <v>0.15185435547320716</v>
      </c>
      <c r="AA91" s="50">
        <f t="shared" si="11"/>
        <v>0.15178111271756312</v>
      </c>
      <c r="AB91" s="50">
        <f t="shared" si="11"/>
        <v>0.15158950459341294</v>
      </c>
      <c r="AC91" s="50">
        <f t="shared" si="11"/>
        <v>0.15129250322179197</v>
      </c>
      <c r="AD91" s="50">
        <f t="shared" si="11"/>
        <v>0.15090069838475514</v>
      </c>
      <c r="AE91" s="50">
        <f t="shared" si="11"/>
        <v>0.15042285974623268</v>
      </c>
      <c r="AF91" s="50">
        <f t="shared" si="11"/>
        <v>0.14986633756363327</v>
      </c>
      <c r="AG91" s="49"/>
    </row>
    <row r="92" spans="1:33" s="45" customFormat="1" ht="11.25">
      <c r="A92" s="45" t="s">
        <v>257</v>
      </c>
      <c r="G92" s="47"/>
      <c r="I92" s="85"/>
      <c r="J92" s="50">
        <f aca="true" t="shared" si="12" ref="J92:AF92">J82/J$79</f>
        <v>0.014483354267894434</v>
      </c>
      <c r="K92" s="50">
        <f t="shared" si="12"/>
        <v>0.018218550977028007</v>
      </c>
      <c r="L92" s="50">
        <f t="shared" si="12"/>
        <v>0.02152550561934377</v>
      </c>
      <c r="M92" s="50">
        <f t="shared" si="12"/>
        <v>0.02451119539618546</v>
      </c>
      <c r="N92" s="50">
        <f t="shared" si="12"/>
        <v>0.027248426651709817</v>
      </c>
      <c r="O92" s="50">
        <f t="shared" si="12"/>
        <v>0.029788341195202583</v>
      </c>
      <c r="P92" s="50">
        <f t="shared" si="12"/>
        <v>0.032167827102590855</v>
      </c>
      <c r="Q92" s="50">
        <f t="shared" si="12"/>
        <v>0.034414103453135496</v>
      </c>
      <c r="R92" s="50">
        <f t="shared" si="12"/>
        <v>0.03654766171271485</v>
      </c>
      <c r="S92" s="50">
        <f t="shared" si="12"/>
        <v>0.03858421223729001</v>
      </c>
      <c r="T92" s="50">
        <f t="shared" si="12"/>
        <v>0.04024471840999933</v>
      </c>
      <c r="U92" s="50">
        <f t="shared" si="12"/>
        <v>0.04166622234771173</v>
      </c>
      <c r="V92" s="50">
        <f t="shared" si="12"/>
        <v>0.042928035684715225</v>
      </c>
      <c r="W92" s="50">
        <f t="shared" si="12"/>
        <v>0.04395385605698546</v>
      </c>
      <c r="X92" s="50">
        <f t="shared" si="12"/>
        <v>0.04480278993492585</v>
      </c>
      <c r="Y92" s="50">
        <f t="shared" si="12"/>
        <v>0.045512385287478835</v>
      </c>
      <c r="Z92" s="50">
        <f t="shared" si="12"/>
        <v>0.046107058183766286</v>
      </c>
      <c r="AA92" s="50">
        <f t="shared" si="12"/>
        <v>0.04660280002718104</v>
      </c>
      <c r="AB92" s="50">
        <f t="shared" si="12"/>
        <v>0.04700994228669299</v>
      </c>
      <c r="AC92" s="50">
        <f t="shared" si="12"/>
        <v>0.04733484648294927</v>
      </c>
      <c r="AD92" s="50">
        <f t="shared" si="12"/>
        <v>0.047580969806768764</v>
      </c>
      <c r="AE92" s="50">
        <f t="shared" si="12"/>
        <v>0.04774955228191881</v>
      </c>
      <c r="AF92" s="50">
        <f t="shared" si="12"/>
        <v>0.04784006559179057</v>
      </c>
      <c r="AG92" s="49"/>
    </row>
    <row r="93" spans="1:33" s="45" customFormat="1" ht="11.25">
      <c r="A93" s="45" t="s">
        <v>121</v>
      </c>
      <c r="G93" s="47"/>
      <c r="I93" s="85"/>
      <c r="J93" s="50">
        <f aca="true" t="shared" si="13" ref="J93:Y93">J83/J$79</f>
        <v>0.22187888145974938</v>
      </c>
      <c r="K93" s="50">
        <f t="shared" si="13"/>
        <v>0.22842587930177913</v>
      </c>
      <c r="L93" s="50">
        <f t="shared" si="13"/>
        <v>0.23436767175256154</v>
      </c>
      <c r="M93" s="50">
        <f t="shared" si="13"/>
        <v>0.23983901634068877</v>
      </c>
      <c r="N93" s="50">
        <f t="shared" si="13"/>
        <v>0.24493152356271145</v>
      </c>
      <c r="O93" s="50">
        <f t="shared" si="13"/>
        <v>0.24970944021296004</v>
      </c>
      <c r="P93" s="50">
        <f t="shared" si="13"/>
        <v>0.25421903054292405</v>
      </c>
      <c r="Q93" s="50">
        <f t="shared" si="13"/>
        <v>0.25849439298142585</v>
      </c>
      <c r="R93" s="50">
        <f t="shared" si="13"/>
        <v>0.2625611963682992</v>
      </c>
      <c r="S93" s="50">
        <f t="shared" si="13"/>
        <v>0.2664391522650305</v>
      </c>
      <c r="T93" s="50">
        <f t="shared" si="13"/>
        <v>0.26973715906596807</v>
      </c>
      <c r="U93" s="50">
        <f t="shared" si="13"/>
        <v>0.2726081333706741</v>
      </c>
      <c r="V93" s="50">
        <f t="shared" si="13"/>
        <v>0.27514941447925473</v>
      </c>
      <c r="W93" s="50">
        <f t="shared" si="13"/>
        <v>0.27718473893548407</v>
      </c>
      <c r="X93" s="50">
        <f t="shared" si="13"/>
        <v>0.27882245761341834</v>
      </c>
      <c r="Y93" s="50">
        <f t="shared" si="13"/>
        <v>0.28013745312730554</v>
      </c>
      <c r="Z93" s="50">
        <f aca="true" t="shared" si="14" ref="Z93:AF93">Z83/Z$79</f>
        <v>0.2811836516244398</v>
      </c>
      <c r="AA93" s="50">
        <f t="shared" si="14"/>
        <v>0.28200119742820345</v>
      </c>
      <c r="AB93" s="50">
        <f t="shared" si="14"/>
        <v>0.28262080081331026</v>
      </c>
      <c r="AC93" s="50">
        <f t="shared" si="14"/>
        <v>0.28306649704360193</v>
      </c>
      <c r="AD93" s="50">
        <f t="shared" si="14"/>
        <v>0.28335746703367787</v>
      </c>
      <c r="AE93" s="50">
        <f t="shared" si="14"/>
        <v>0.2835092798648633</v>
      </c>
      <c r="AF93" s="50">
        <f t="shared" si="14"/>
        <v>0.2835347659480731</v>
      </c>
      <c r="AG93" s="49"/>
    </row>
    <row r="94" spans="7:33" s="45" customFormat="1" ht="11.25">
      <c r="G94" s="47"/>
      <c r="I94" s="85"/>
      <c r="J94" s="50"/>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s="9" customFormat="1" ht="12">
      <c r="A95" s="9" t="s">
        <v>215</v>
      </c>
      <c r="G95" s="27"/>
      <c r="I95" s="76"/>
      <c r="J95" s="29">
        <f aca="true" t="shared" si="15" ref="J95:AF95">SUM(J96:J99)</f>
        <v>134.04140819635472</v>
      </c>
      <c r="K95" s="29">
        <f t="shared" si="15"/>
        <v>198.94864471104978</v>
      </c>
      <c r="L95" s="29">
        <f t="shared" si="15"/>
        <v>280.2170801876815</v>
      </c>
      <c r="M95" s="29">
        <f t="shared" si="15"/>
        <v>375.5596099960145</v>
      </c>
      <c r="N95" s="29">
        <f t="shared" si="15"/>
        <v>482.8976474539238</v>
      </c>
      <c r="O95" s="29">
        <f t="shared" si="15"/>
        <v>600.3466453192282</v>
      </c>
      <c r="P95" s="29">
        <f t="shared" si="15"/>
        <v>726.2024860321449</v>
      </c>
      <c r="Q95" s="29">
        <f t="shared" si="15"/>
        <v>858.9285084553732</v>
      </c>
      <c r="R95" s="29">
        <f t="shared" si="15"/>
        <v>997.1430845325373</v>
      </c>
      <c r="S95" s="29">
        <f t="shared" si="15"/>
        <v>1139.607730401849</v>
      </c>
      <c r="T95" s="29">
        <f t="shared" si="15"/>
        <v>1267.4787803278878</v>
      </c>
      <c r="U95" s="29">
        <f t="shared" si="15"/>
        <v>1382.9539698772267</v>
      </c>
      <c r="V95" s="29">
        <f t="shared" si="15"/>
        <v>1487.7857704651713</v>
      </c>
      <c r="W95" s="29">
        <f t="shared" si="15"/>
        <v>1577.2781224101516</v>
      </c>
      <c r="X95" s="29">
        <f t="shared" si="15"/>
        <v>1653.2564574715082</v>
      </c>
      <c r="Y95" s="29">
        <f t="shared" si="15"/>
        <v>1717.2179185747248</v>
      </c>
      <c r="Z95" s="29">
        <f t="shared" si="15"/>
        <v>1770.399170377356</v>
      </c>
      <c r="AA95" s="29">
        <f t="shared" si="15"/>
        <v>1813.8274947377272</v>
      </c>
      <c r="AB95" s="29">
        <f t="shared" si="15"/>
        <v>1848.3598226697286</v>
      </c>
      <c r="AC95" s="29">
        <f t="shared" si="15"/>
        <v>1874.712908284486</v>
      </c>
      <c r="AD95" s="29">
        <f t="shared" si="15"/>
        <v>1893.486896585792</v>
      </c>
      <c r="AE95" s="29">
        <f t="shared" si="15"/>
        <v>1905.1838942578602</v>
      </c>
      <c r="AF95" s="29">
        <f t="shared" si="15"/>
        <v>1910.2227108892125</v>
      </c>
      <c r="AG95" s="29"/>
    </row>
    <row r="96" spans="1:33" s="45" customFormat="1" ht="11.25">
      <c r="A96" s="45" t="s">
        <v>119</v>
      </c>
      <c r="G96" s="47"/>
      <c r="I96" s="85"/>
      <c r="J96" s="49">
        <f>$J68-J74</f>
        <v>84.62663506421814</v>
      </c>
      <c r="K96" s="49">
        <f aca="true" t="shared" si="16" ref="K96:AF96">$J68-K74</f>
        <v>141.77709566054546</v>
      </c>
      <c r="L96" s="49">
        <f t="shared" si="16"/>
        <v>205.87632223361743</v>
      </c>
      <c r="M96" s="49">
        <f t="shared" si="16"/>
        <v>275.3939692963627</v>
      </c>
      <c r="N96" s="49">
        <f t="shared" si="16"/>
        <v>348.9864017908699</v>
      </c>
      <c r="O96" s="49">
        <f t="shared" si="16"/>
        <v>425.480830617063</v>
      </c>
      <c r="P96" s="49">
        <f t="shared" si="16"/>
        <v>503.860264514695</v>
      </c>
      <c r="Q96" s="49">
        <f t="shared" si="16"/>
        <v>583.249171767081</v>
      </c>
      <c r="R96" s="49">
        <f t="shared" si="16"/>
        <v>662.8998420544037</v>
      </c>
      <c r="S96" s="49">
        <f t="shared" si="16"/>
        <v>742.1794774058967</v>
      </c>
      <c r="T96" s="49">
        <f t="shared" si="16"/>
        <v>812.8310122940261</v>
      </c>
      <c r="U96" s="49">
        <f t="shared" si="16"/>
        <v>876.2875831372332</v>
      </c>
      <c r="V96" s="49">
        <f t="shared" si="16"/>
        <v>933.6717864757966</v>
      </c>
      <c r="W96" s="49">
        <f t="shared" si="16"/>
        <v>984.1246604877103</v>
      </c>
      <c r="X96" s="49">
        <f t="shared" si="16"/>
        <v>1028.6953622713697</v>
      </c>
      <c r="Y96" s="49">
        <f t="shared" si="16"/>
        <v>1068.237423408911</v>
      </c>
      <c r="Z96" s="49">
        <f t="shared" si="16"/>
        <v>1103.4528208260774</v>
      </c>
      <c r="AA96" s="49">
        <f t="shared" si="16"/>
        <v>1134.9245994683713</v>
      </c>
      <c r="AB96" s="49">
        <f t="shared" si="16"/>
        <v>1163.1413927955637</v>
      </c>
      <c r="AC96" s="49">
        <f t="shared" si="16"/>
        <v>1188.5161062067714</v>
      </c>
      <c r="AD96" s="49">
        <f t="shared" si="16"/>
        <v>1211.4003279382232</v>
      </c>
      <c r="AE96" s="49">
        <f t="shared" si="16"/>
        <v>1232.0955676545448</v>
      </c>
      <c r="AF96" s="49">
        <f t="shared" si="16"/>
        <v>1250.862109017089</v>
      </c>
      <c r="AG96" s="49"/>
    </row>
    <row r="97" spans="1:33" ht="11.25">
      <c r="A97" s="45" t="s">
        <v>204</v>
      </c>
      <c r="J97" s="49">
        <f>$J69-J75</f>
        <v>17.732446210764465</v>
      </c>
      <c r="K97" s="49">
        <f aca="true" t="shared" si="17" ref="K97:AF97">$J69-K75</f>
        <v>25.75379327476412</v>
      </c>
      <c r="L97" s="49">
        <f t="shared" si="17"/>
        <v>36.64331766995042</v>
      </c>
      <c r="M97" s="49">
        <f t="shared" si="17"/>
        <v>50.14040307367691</v>
      </c>
      <c r="N97" s="49">
        <f t="shared" si="17"/>
        <v>65.99629191066424</v>
      </c>
      <c r="O97" s="49">
        <f t="shared" si="17"/>
        <v>83.97383226971101</v>
      </c>
      <c r="P97" s="49">
        <f t="shared" si="17"/>
        <v>103.84731707897708</v>
      </c>
      <c r="Q97" s="49">
        <f t="shared" si="17"/>
        <v>125.40236707694771</v>
      </c>
      <c r="R97" s="49">
        <f t="shared" si="17"/>
        <v>148.4358262705107</v>
      </c>
      <c r="S97" s="49">
        <f t="shared" si="17"/>
        <v>172.75565005088856</v>
      </c>
      <c r="T97" s="49">
        <f t="shared" si="17"/>
        <v>195.2354042747627</v>
      </c>
      <c r="U97" s="49">
        <f t="shared" si="17"/>
        <v>216.1034540665621</v>
      </c>
      <c r="V97" s="49">
        <f t="shared" si="17"/>
        <v>235.5496622612668</v>
      </c>
      <c r="W97" s="49">
        <f t="shared" si="17"/>
        <v>252.38819152656083</v>
      </c>
      <c r="X97" s="49">
        <f t="shared" si="17"/>
        <v>266.8690118571244</v>
      </c>
      <c r="Y97" s="49">
        <f t="shared" si="17"/>
        <v>279.20347161231643</v>
      </c>
      <c r="Z97" s="49">
        <f t="shared" si="17"/>
        <v>289.57107318783915</v>
      </c>
      <c r="AA97" s="49">
        <f t="shared" si="17"/>
        <v>298.12482097330894</v>
      </c>
      <c r="AB97" s="49">
        <f t="shared" si="17"/>
        <v>304.9954845626087</v>
      </c>
      <c r="AC97" s="49">
        <f t="shared" si="17"/>
        <v>310.29502764015</v>
      </c>
      <c r="AD97" s="49">
        <f t="shared" si="17"/>
        <v>314.11938796915</v>
      </c>
      <c r="AE97" s="49">
        <f t="shared" si="17"/>
        <v>316.55074753100325</v>
      </c>
      <c r="AF97" s="49">
        <f t="shared" si="17"/>
        <v>317.6593982956282</v>
      </c>
      <c r="AG97" s="49"/>
    </row>
    <row r="98" spans="1:33" ht="11.25">
      <c r="A98" s="45" t="s">
        <v>257</v>
      </c>
      <c r="J98" s="49">
        <f>$J70-J76</f>
        <v>1.9413692014752542</v>
      </c>
      <c r="K98" s="49">
        <f aca="true" t="shared" si="18" ref="K98:AF98">$J70-K76</f>
        <v>-2.7078397283981417</v>
      </c>
      <c r="L98" s="49">
        <f t="shared" si="18"/>
        <v>-6.250625257530942</v>
      </c>
      <c r="M98" s="49">
        <f t="shared" si="18"/>
        <v>-8.724942189068884</v>
      </c>
      <c r="N98" s="49">
        <f t="shared" si="18"/>
        <v>-10.174164762441478</v>
      </c>
      <c r="O98" s="49">
        <f t="shared" si="18"/>
        <v>-10.64635977435529</v>
      </c>
      <c r="P98" s="49">
        <f t="shared" si="18"/>
        <v>-10.19353026763173</v>
      </c>
      <c r="Q98" s="49">
        <f t="shared" si="18"/>
        <v>-8.870857023791018</v>
      </c>
      <c r="R98" s="49">
        <f t="shared" si="18"/>
        <v>-6.735957194870139</v>
      </c>
      <c r="S98" s="49">
        <f t="shared" si="18"/>
        <v>-3.848173895337027</v>
      </c>
      <c r="T98" s="49">
        <f t="shared" si="18"/>
        <v>-1.6355964343564438</v>
      </c>
      <c r="U98" s="49">
        <f t="shared" si="18"/>
        <v>-0.004536596196203391</v>
      </c>
      <c r="V98" s="49">
        <f t="shared" si="18"/>
        <v>1.1191478406144597</v>
      </c>
      <c r="W98" s="49">
        <f t="shared" si="18"/>
        <v>1.1673939872722485</v>
      </c>
      <c r="X98" s="49">
        <f t="shared" si="18"/>
        <v>0.21130282716995907</v>
      </c>
      <c r="Y98" s="49">
        <f t="shared" si="18"/>
        <v>-1.6976256418901698</v>
      </c>
      <c r="Z98" s="49">
        <f t="shared" si="18"/>
        <v>-4.524045626671295</v>
      </c>
      <c r="AA98" s="49">
        <f t="shared" si="18"/>
        <v>-8.246234299748096</v>
      </c>
      <c r="AB98" s="49">
        <f t="shared" si="18"/>
        <v>-12.854230504074792</v>
      </c>
      <c r="AC98" s="49">
        <f t="shared" si="18"/>
        <v>-18.34847409807645</v>
      </c>
      <c r="AD98" s="49">
        <f t="shared" si="18"/>
        <v>-24.73882743465043</v>
      </c>
      <c r="AE98" s="49">
        <f t="shared" si="18"/>
        <v>-32.043895017009106</v>
      </c>
      <c r="AF98" s="49">
        <f t="shared" si="18"/>
        <v>-40.290581346387455</v>
      </c>
      <c r="AG98" s="49"/>
    </row>
    <row r="99" spans="1:33" s="9" customFormat="1" ht="12">
      <c r="A99" s="45" t="s">
        <v>121</v>
      </c>
      <c r="G99" s="27"/>
      <c r="I99" s="76"/>
      <c r="J99" s="49">
        <f>$J71-J77</f>
        <v>29.74095771989687</v>
      </c>
      <c r="K99" s="49">
        <f aca="true" t="shared" si="19" ref="K99:AF99">$J71-K77</f>
        <v>34.125595504138346</v>
      </c>
      <c r="L99" s="49">
        <f t="shared" si="19"/>
        <v>43.94806554164461</v>
      </c>
      <c r="M99" s="49">
        <f t="shared" si="19"/>
        <v>58.75017981504379</v>
      </c>
      <c r="N99" s="49">
        <f t="shared" si="19"/>
        <v>78.08911851483117</v>
      </c>
      <c r="O99" s="49">
        <f t="shared" si="19"/>
        <v>101.53834220680938</v>
      </c>
      <c r="P99" s="49">
        <f t="shared" si="19"/>
        <v>128.68843470610454</v>
      </c>
      <c r="Q99" s="49">
        <f t="shared" si="19"/>
        <v>159.14782663513552</v>
      </c>
      <c r="R99" s="49">
        <f t="shared" si="19"/>
        <v>192.543373402493</v>
      </c>
      <c r="S99" s="49">
        <f t="shared" si="19"/>
        <v>228.5207768404009</v>
      </c>
      <c r="T99" s="49">
        <f t="shared" si="19"/>
        <v>261.04796019345554</v>
      </c>
      <c r="U99" s="49">
        <f t="shared" si="19"/>
        <v>290.5674692696275</v>
      </c>
      <c r="V99" s="49">
        <f t="shared" si="19"/>
        <v>317.4451738874934</v>
      </c>
      <c r="W99" s="49">
        <f t="shared" si="19"/>
        <v>339.5978764086083</v>
      </c>
      <c r="X99" s="49">
        <f t="shared" si="19"/>
        <v>357.4807805158441</v>
      </c>
      <c r="Y99" s="49">
        <f t="shared" si="19"/>
        <v>371.47464919538766</v>
      </c>
      <c r="Z99" s="49">
        <f t="shared" si="19"/>
        <v>381.8993219901108</v>
      </c>
      <c r="AA99" s="49">
        <f t="shared" si="19"/>
        <v>389.024308595795</v>
      </c>
      <c r="AB99" s="49">
        <f t="shared" si="19"/>
        <v>393.0771758156311</v>
      </c>
      <c r="AC99" s="49">
        <f t="shared" si="19"/>
        <v>394.25024853564105</v>
      </c>
      <c r="AD99" s="49">
        <f t="shared" si="19"/>
        <v>392.7060081130692</v>
      </c>
      <c r="AE99" s="49">
        <f t="shared" si="19"/>
        <v>388.5814740893213</v>
      </c>
      <c r="AF99" s="49">
        <f t="shared" si="19"/>
        <v>381.9917849228825</v>
      </c>
      <c r="AG99" s="49"/>
    </row>
    <row r="100" spans="7:33" s="45" customFormat="1" ht="11.25">
      <c r="G100" s="47"/>
      <c r="I100" s="85"/>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s="9" customFormat="1" ht="12">
      <c r="A101" s="9" t="s">
        <v>282</v>
      </c>
      <c r="G101" s="27"/>
      <c r="I101" s="76"/>
      <c r="J101" s="130">
        <f>ROUND(Electricity!J63+Gasoline!J61+Aviation!J61+Other!J61,-2)</f>
        <v>81200</v>
      </c>
      <c r="K101" s="130">
        <f>ROUND(Electricity!K63+Gasoline!K61+Aviation!K61+Other!K61,-2)</f>
        <v>161300</v>
      </c>
      <c r="L101" s="130">
        <f>ROUND(Electricity!L63+Gasoline!L61+Aviation!L61+Other!L61,-2)</f>
        <v>239700</v>
      </c>
      <c r="M101" s="130">
        <f>ROUND(Electricity!M63+Gasoline!M61+Aviation!M61+Other!M61,-2)</f>
        <v>315900</v>
      </c>
      <c r="N101" s="130">
        <f>ROUND(Electricity!N63+Gasoline!N61+Aviation!N61+Other!N61,-2)</f>
        <v>389300</v>
      </c>
      <c r="O101" s="130">
        <f>ROUND(Electricity!O63+Gasoline!O61+Aviation!O61+Other!O61,-2)</f>
        <v>459600</v>
      </c>
      <c r="P101" s="130">
        <f>ROUND(Electricity!P63+Gasoline!P61+Aviation!P61+Other!P61,-2)</f>
        <v>526500</v>
      </c>
      <c r="Q101" s="130">
        <f>ROUND(Electricity!Q63+Gasoline!Q61+Aviation!Q61+Other!Q61,-2)</f>
        <v>589800</v>
      </c>
      <c r="R101" s="130">
        <f>ROUND(Electricity!R63+Gasoline!R61+Aviation!R61+Other!R61,-2)</f>
        <v>649200</v>
      </c>
      <c r="S101" s="130">
        <f>ROUND(Electricity!S63+Gasoline!S61+Aviation!S61+Other!S61,-2)</f>
        <v>704700</v>
      </c>
      <c r="T101" s="130">
        <f>ROUND(Electricity!T63+Gasoline!T61+Aviation!T61+Other!T61,-2)</f>
        <v>758900</v>
      </c>
      <c r="U101" s="130">
        <f>ROUND(Electricity!U63+Gasoline!U61+Aviation!U61+Other!U61,-2)</f>
        <v>811900</v>
      </c>
      <c r="V101" s="130">
        <f>ROUND(Electricity!V63+Gasoline!V61+Aviation!V61+Other!V61,-2)</f>
        <v>863900</v>
      </c>
      <c r="W101" s="130">
        <f>ROUND(Electricity!W63+Gasoline!W61+Aviation!W61+Other!W61,-2)</f>
        <v>916400</v>
      </c>
      <c r="X101" s="130">
        <f>ROUND(Electricity!X63+Gasoline!X61+Aviation!X61+Other!X61,-2)</f>
        <v>969700</v>
      </c>
      <c r="Y101" s="130">
        <f>ROUND(Electricity!Y63+Gasoline!Y61+Aviation!Y61+Other!Y61,-2)</f>
        <v>1023900</v>
      </c>
      <c r="Z101" s="130">
        <f>ROUND(Electricity!Z63+Gasoline!Z61+Aviation!Z61+Other!Z61,-2)</f>
        <v>1079500</v>
      </c>
      <c r="AA101" s="130">
        <f>ROUND(Electricity!AA63+Gasoline!AA61+Aviation!AA61+Other!AA61,-2)</f>
        <v>1171600</v>
      </c>
      <c r="AB101" s="130">
        <f>ROUND(Electricity!AB63+Gasoline!AB61+Aviation!AB61+Other!AB61,-2)</f>
        <v>1232100</v>
      </c>
      <c r="AC101" s="130">
        <f>ROUND(Electricity!AC63+Gasoline!AC61+Aviation!AC61+Other!AC61,-2)</f>
        <v>1294700</v>
      </c>
      <c r="AD101" s="130">
        <f>ROUND(Electricity!AD63+Gasoline!AD61+Aviation!AD61+Other!AD61,-2)</f>
        <v>1359400</v>
      </c>
      <c r="AE101" s="130">
        <f>ROUND(Electricity!AE63+Gasoline!AE61+Aviation!AE61+Other!AE61,-2)</f>
        <v>1426600</v>
      </c>
      <c r="AF101" s="130">
        <f>ROUND(Electricity!AF63+Gasoline!AF61+Aviation!AF61+Other!AF61,-2)</f>
        <v>1451400</v>
      </c>
      <c r="AG101" s="51"/>
    </row>
    <row r="103" ht="12">
      <c r="A103" s="9" t="s">
        <v>217</v>
      </c>
    </row>
    <row r="104" spans="1:10" ht="11.25">
      <c r="A104" s="45" t="s">
        <v>119</v>
      </c>
      <c r="I104" s="136">
        <f>63204/(63204+1987224+807597)</f>
        <v>0.02211457212585614</v>
      </c>
      <c r="J104" s="3" t="s">
        <v>221</v>
      </c>
    </row>
    <row r="105" spans="1:10" ht="11.25">
      <c r="A105" s="45" t="s">
        <v>204</v>
      </c>
      <c r="I105" s="136">
        <v>1</v>
      </c>
      <c r="J105" s="3" t="s">
        <v>218</v>
      </c>
    </row>
    <row r="106" spans="1:10" ht="11.25">
      <c r="A106" s="45" t="s">
        <v>257</v>
      </c>
      <c r="I106" s="136">
        <v>1</v>
      </c>
      <c r="J106" s="3" t="s">
        <v>259</v>
      </c>
    </row>
    <row r="107" spans="1:27" ht="11.25" customHeight="1">
      <c r="A107" s="45" t="s">
        <v>121</v>
      </c>
      <c r="I107" s="136">
        <f>(40.22/85.18-Emissions!H8*I104-Emissions!H14*Summary!I105-Emissions!H16*Summary!I106)/Emissions!H18</f>
        <v>0.5803874923617258</v>
      </c>
      <c r="J107" s="159" t="s">
        <v>260</v>
      </c>
      <c r="K107" s="160"/>
      <c r="L107" s="160"/>
      <c r="M107" s="160"/>
      <c r="N107" s="160"/>
      <c r="O107" s="160"/>
      <c r="P107" s="160"/>
      <c r="Q107" s="160"/>
      <c r="R107" s="160"/>
      <c r="S107" s="160"/>
      <c r="T107" s="160"/>
      <c r="U107" s="160"/>
      <c r="V107" s="160"/>
      <c r="W107" s="160"/>
      <c r="X107" s="160"/>
      <c r="Y107" s="160"/>
      <c r="Z107" s="3"/>
      <c r="AA107" s="3"/>
    </row>
    <row r="108" spans="1:27" ht="11.25">
      <c r="A108" s="45"/>
      <c r="J108" s="159"/>
      <c r="K108" s="160"/>
      <c r="L108" s="160"/>
      <c r="M108" s="160"/>
      <c r="N108" s="160"/>
      <c r="O108" s="160"/>
      <c r="P108" s="160"/>
      <c r="Q108" s="160"/>
      <c r="R108" s="160"/>
      <c r="S108" s="160"/>
      <c r="T108" s="160"/>
      <c r="U108" s="160"/>
      <c r="V108" s="160"/>
      <c r="W108" s="160"/>
      <c r="X108" s="160"/>
      <c r="Y108" s="160"/>
      <c r="Z108" s="3"/>
      <c r="AA108" s="3"/>
    </row>
    <row r="109" ht="11.25">
      <c r="A109" s="45"/>
    </row>
    <row r="110" ht="12">
      <c r="A110" s="9" t="s">
        <v>219</v>
      </c>
    </row>
    <row r="111" spans="1:32" ht="11.25">
      <c r="A111" s="45" t="s">
        <v>225</v>
      </c>
      <c r="J111" s="52">
        <f>$I$104*J80*1000000*Electricity!$G$19*10000/(Electricity!$P$32*1000000000000)</f>
        <v>22.862146392775784</v>
      </c>
      <c r="K111" s="52">
        <f>$I$104*K80*1000000*Electricity!$G$19*10000/(Electricity!$P$32*1000000000000)</f>
        <v>48.21650958171675</v>
      </c>
      <c r="L111" s="52">
        <f>$I$104*L80*1000000*Electricity!$G$19*10000/(Electricity!$P$32*1000000000000)</f>
        <v>75.59682817517084</v>
      </c>
      <c r="M111" s="52">
        <f>$I$104*M80*1000000*Electricity!$G$19*10000/(Electricity!$P$32*1000000000000)</f>
        <v>104.59190549403608</v>
      </c>
      <c r="N111" s="52">
        <f>$I$104*N80*1000000*Electricity!$G$19*10000/(Electricity!$P$32*1000000000000)</f>
        <v>134.8410187204255</v>
      </c>
      <c r="O111" s="52">
        <f>$I$104*O80*1000000*Electricity!$G$19*10000/(Electricity!$P$32*1000000000000)</f>
        <v>166.02963356377035</v>
      </c>
      <c r="P111" s="52">
        <f>$I$104*P80*1000000*Electricity!$G$19*10000/(Electricity!$P$32*1000000000000)</f>
        <v>197.88533947481835</v>
      </c>
      <c r="Q111" s="52">
        <f>$I$104*Q80*1000000*Electricity!$G$19*10000/(Electricity!$P$32*1000000000000)</f>
        <v>230.17397662780505</v>
      </c>
      <c r="R111" s="52">
        <f>$I$104*R80*1000000*Electricity!$G$19*10000/(Electricity!$P$32*1000000000000)</f>
        <v>262.69595205794843</v>
      </c>
      <c r="S111" s="52">
        <f>$I$104*S80*1000000*Electricity!$G$19*10000/(Electricity!$P$32*1000000000000)</f>
        <v>295.28275277512574</v>
      </c>
      <c r="T111" s="52">
        <f>$I$104*T80*1000000*Electricity!$G$19*10000/(Electricity!$P$32*1000000000000)</f>
        <v>325.7061829907633</v>
      </c>
      <c r="U111" s="52">
        <f>$I$104*U80*1000000*Electricity!$G$19*10000/(Electricity!$P$32*1000000000000)</f>
        <v>354.3559219887327</v>
      </c>
      <c r="V111" s="52">
        <f>$I$104*V80*1000000*Electricity!$G$19*10000/(Electricity!$P$32*1000000000000)</f>
        <v>381.53779344325534</v>
      </c>
      <c r="W111" s="52">
        <f>$I$104*W80*1000000*Electricity!$G$19*10000/(Electricity!$P$32*1000000000000)</f>
        <v>407.0223351885836</v>
      </c>
      <c r="X111" s="52">
        <f>$I$104*X80*1000000*Electricity!$G$19*10000/(Electricity!$P$32*1000000000000)</f>
        <v>431.09560810392384</v>
      </c>
      <c r="Y111" s="52">
        <f>$I$104*Y80*1000000*Electricity!$G$19*10000/(Electricity!$P$32*1000000000000)</f>
        <v>453.9908636499032</v>
      </c>
      <c r="Z111" s="52">
        <f>$I$104*Z80*1000000*Electricity!$G$19*10000/(Electricity!$P$32*1000000000000)</f>
        <v>475.9004503385151</v>
      </c>
      <c r="AA111" s="52">
        <f>$I$104*AA80*1000000*Electricity!$G$19*10000/(Electricity!$P$32*1000000000000)</f>
        <v>496.98462744980236</v>
      </c>
      <c r="AB111" s="52">
        <f>$I$104*AB80*1000000*Electricity!$G$19*10000/(Electricity!$P$32*1000000000000)</f>
        <v>517.378189928192</v>
      </c>
      <c r="AC111" s="52">
        <f>$I$104*AC80*1000000*Electricity!$G$19*10000/(Electricity!$P$32*1000000000000)</f>
        <v>537.1955163856628</v>
      </c>
      <c r="AD111" s="52">
        <f>$I$104*AD80*1000000*Electricity!$G$19*10000/(Electricity!$P$32*1000000000000)</f>
        <v>556.5344628777588</v>
      </c>
      <c r="AE111" s="52">
        <f>$I$104*AE80*1000000*Electricity!$G$19*10000/(Electricity!$P$32*1000000000000)</f>
        <v>575.4793996806393</v>
      </c>
      <c r="AF111" s="52">
        <f>$I$104*AF80*1000000*Electricity!$G$19*10000/(Electricity!$P$32*1000000000000)</f>
        <v>594.1036034862266</v>
      </c>
    </row>
    <row r="112" spans="1:32" ht="11.25">
      <c r="A112" s="45" t="s">
        <v>204</v>
      </c>
      <c r="J112" s="48">
        <f>$I$105*J81*1000000*Electricity!$G$19/(Gasoline!$G$27*1000000000000)*Gasoline!$G$25</f>
        <v>249.1506620310258</v>
      </c>
      <c r="K112" s="48">
        <f>$I$105*K81*1000000*Electricity!$G$19/(Gasoline!$G$27*1000000000000)*Gasoline!$G$25</f>
        <v>544.2409246642063</v>
      </c>
      <c r="L112" s="48">
        <f>$I$105*L81*1000000*Electricity!$G$19/(Gasoline!$G$27*1000000000000)*Gasoline!$G$25</f>
        <v>881.454521821581</v>
      </c>
      <c r="M112" s="48">
        <f>$I$105*M81*1000000*Electricity!$G$19/(Gasoline!$G$27*1000000000000)*Gasoline!$G$25</f>
        <v>1257.1478888348847</v>
      </c>
      <c r="N112" s="48">
        <f>$I$105*N81*1000000*Electricity!$G$19/(Gasoline!$G$27*1000000000000)*Gasoline!$G$25</f>
        <v>1667.8442653712623</v>
      </c>
      <c r="O112" s="48">
        <f>$I$105*O81*1000000*Electricity!$G$19/(Gasoline!$G$27*1000000000000)*Gasoline!$G$25</f>
        <v>2110.2301412971638</v>
      </c>
      <c r="P112" s="48">
        <f>$I$105*P81*1000000*Electricity!$G$19/(Gasoline!$G$27*1000000000000)*Gasoline!$G$25</f>
        <v>2581.1529988443704</v>
      </c>
      <c r="Q112" s="48">
        <f>$I$105*Q81*1000000*Electricity!$G$19/(Gasoline!$G$27*1000000000000)*Gasoline!$G$25</f>
        <v>3077.619670147905</v>
      </c>
      <c r="R112" s="48">
        <f>$I$105*R81*1000000*Electricity!$G$19/(Gasoline!$G$27*1000000000000)*Gasoline!$G$25</f>
        <v>3596.794870253426</v>
      </c>
      <c r="S112" s="48">
        <f>$I$105*S81*1000000*Electricity!$G$19/(Gasoline!$G$27*1000000000000)*Gasoline!$G$25</f>
        <v>4135.999626982188</v>
      </c>
      <c r="T112" s="48">
        <f>$I$105*T81*1000000*Electricity!$G$19/(Gasoline!$G$27*1000000000000)*Gasoline!$G$25</f>
        <v>4651.325368280483</v>
      </c>
      <c r="U112" s="48">
        <f>$I$105*U81*1000000*Electricity!$G$19/(Gasoline!$G$27*1000000000000)*Gasoline!$G$25</f>
        <v>5146.000500041709</v>
      </c>
      <c r="V112" s="48">
        <f>$I$105*V81*1000000*Electricity!$G$19/(Gasoline!$G$27*1000000000000)*Gasoline!$G$25</f>
        <v>5622.712647227368</v>
      </c>
      <c r="W112" s="48">
        <f>$I$105*W81*1000000*Electricity!$G$19/(Gasoline!$G$27*1000000000000)*Gasoline!$G$25</f>
        <v>6064.820287188768</v>
      </c>
      <c r="X112" s="48">
        <f>$I$105*X81*1000000*Electricity!$G$19/(Gasoline!$G$27*1000000000000)*Gasoline!$G$25</f>
        <v>6475.855984615754</v>
      </c>
      <c r="Y112" s="48">
        <f>$I$105*Y81*1000000*Electricity!$G$19/(Gasoline!$G$27*1000000000000)*Gasoline!$G$25</f>
        <v>6858.809852375228</v>
      </c>
      <c r="Z112" s="48">
        <f>$I$105*Z81*1000000*Electricity!$G$19/(Gasoline!$G$27*1000000000000)*Gasoline!$G$25</f>
        <v>7216.224755474748</v>
      </c>
      <c r="AA112" s="48">
        <f>$I$105*AA81*1000000*Electricity!$G$19/(Gasoline!$G$27*1000000000000)*Gasoline!$G$25</f>
        <v>7550.271454874974</v>
      </c>
      <c r="AB112" s="48">
        <f>$I$105*AB81*1000000*Electricity!$G$19/(Gasoline!$G$27*1000000000000)*Gasoline!$G$25</f>
        <v>7862.808510025208</v>
      </c>
      <c r="AC112" s="48">
        <f>$I$105*AC81*1000000*Electricity!$G$19/(Gasoline!$G$27*1000000000000)*Gasoline!$G$25</f>
        <v>8155.430458705454</v>
      </c>
      <c r="AD112" s="48">
        <f>$I$105*AD81*1000000*Electricity!$G$19/(Gasoline!$G$27*1000000000000)*Gasoline!$G$25</f>
        <v>8429.50687951444</v>
      </c>
      <c r="AE112" s="48">
        <f>$I$105*AE81*1000000*Electricity!$G$19/(Gasoline!$G$27*1000000000000)*Gasoline!$G$25</f>
        <v>8686.21429072004</v>
      </c>
      <c r="AF112" s="48">
        <f>$I$105*AF81*1000000*Electricity!$G$19/(Gasoline!$G$27*1000000000000)*Gasoline!$G$25</f>
        <v>8926.562367523084</v>
      </c>
    </row>
    <row r="113" spans="1:32" ht="11.25">
      <c r="A113" s="45" t="s">
        <v>257</v>
      </c>
      <c r="J113" s="48">
        <f>$I$106*J82*1000000*Electricity!$G$19/(Aviation!$G$27*1000000000000)*Aviation!$G$25</f>
        <v>26.862725909440353</v>
      </c>
      <c r="K113" s="48">
        <f>$I$106*K82*1000000*Electricity!$G$19/(Aviation!$G$27*1000000000000)*Aviation!$G$25</f>
        <v>72.68444942382112</v>
      </c>
      <c r="L113" s="48">
        <f>$I$106*L82*1000000*Electricity!$G$19/(Aviation!$G$27*1000000000000)*Aviation!$G$25</f>
        <v>137.1203385309551</v>
      </c>
      <c r="M113" s="48">
        <f>$I$106*M82*1000000*Electricity!$G$19/(Aviation!$G$27*1000000000000)*Aviation!$G$25</f>
        <v>219.7443501597731</v>
      </c>
      <c r="N113" s="48">
        <f>$I$106*N82*1000000*Electricity!$G$19/(Aviation!$G$27*1000000000000)*Aviation!$G$25</f>
        <v>320.05842662495223</v>
      </c>
      <c r="O113" s="48">
        <f>$I$106*O82*1000000*Electricity!$G$19/(Aviation!$G$27*1000000000000)*Aviation!$G$25</f>
        <v>437.5026426756332</v>
      </c>
      <c r="P113" s="48">
        <f>$I$106*P82*1000000*Electricity!$G$19/(Aviation!$G$27*1000000000000)*Aviation!$G$25</f>
        <v>571.4657624735697</v>
      </c>
      <c r="Q113" s="48">
        <f>$I$106*Q82*1000000*Electricity!$G$19/(Aviation!$G$27*1000000000000)*Aviation!$G$25</f>
        <v>721.2958297178795</v>
      </c>
      <c r="R113" s="48">
        <f>$I$106*R82*1000000*Electricity!$G$19/(Aviation!$G$27*1000000000000)*Aviation!$G$25</f>
        <v>886.3105234539198</v>
      </c>
      <c r="S113" s="48">
        <f>$I$106*S82*1000000*Electricity!$G$19/(Aviation!$G$27*1000000000000)*Aviation!$G$25</f>
        <v>1065.8070884122335</v>
      </c>
      <c r="T113" s="48">
        <f>$I$106*T82*1000000*Electricity!$G$19/(Aviation!$G$27*1000000000000)*Aviation!$G$25</f>
        <v>1240.1469793003603</v>
      </c>
      <c r="U113" s="48">
        <f>$I$106*U82*1000000*Electricity!$G$19/(Aviation!$G$27*1000000000000)*Aviation!$G$25</f>
        <v>1410.7521444486881</v>
      </c>
      <c r="V113" s="48">
        <f>$I$106*V82*1000000*Electricity!$G$19/(Aviation!$G$27*1000000000000)*Aviation!$G$25</f>
        <v>1578.7778417965976</v>
      </c>
      <c r="W113" s="48">
        <f>$I$106*W82*1000000*Electricity!$G$19/(Aviation!$G$27*1000000000000)*Aviation!$G$25</f>
        <v>1736.4970176440622</v>
      </c>
      <c r="X113" s="48">
        <f>$I$106*X82*1000000*Electricity!$G$19/(Aviation!$G$27*1000000000000)*Aviation!$G$25</f>
        <v>1885.0307258562016</v>
      </c>
      <c r="Y113" s="48">
        <f>$I$106*Y82*1000000*Electricity!$G$19/(Aviation!$G$27*1000000000000)*Aviation!$G$25</f>
        <v>2025.2329183442494</v>
      </c>
      <c r="Z113" s="48">
        <f>$I$106*Z82*1000000*Electricity!$G$19/(Aviation!$G$27*1000000000000)*Aviation!$G$25</f>
        <v>2157.7382616816717</v>
      </c>
      <c r="AA113" s="48">
        <f>$I$106*AA82*1000000*Electricity!$G$19/(Aviation!$G$27*1000000000000)*Aviation!$G$25</f>
        <v>2282.997289066936</v>
      </c>
      <c r="AB113" s="48">
        <f>$I$106*AB82*1000000*Electricity!$G$19/(Aviation!$G$27*1000000000000)*Aviation!$G$25</f>
        <v>2401.302286096815</v>
      </c>
      <c r="AC113" s="48">
        <f>$I$106*AC82*1000000*Electricity!$G$19/(Aviation!$G$27*1000000000000)*Aviation!$G$25</f>
        <v>2512.8062531075348</v>
      </c>
      <c r="AD113" s="48">
        <f>$I$106*AD82*1000000*Electricity!$G$19/(Aviation!$G$27*1000000000000)*Aviation!$G$25</f>
        <v>2617.536583977723</v>
      </c>
      <c r="AE113" s="48">
        <f>$I$106*AE82*1000000*Electricity!$G$19/(Aviation!$G$27*1000000000000)*Aviation!$G$25</f>
        <v>2715.4046232285955</v>
      </c>
      <c r="AF113" s="48">
        <f>$I$106*AF82*1000000*Electricity!$G$19/(Aviation!$G$27*1000000000000)*Aviation!$G$25</f>
        <v>2806.2119315586297</v>
      </c>
    </row>
    <row r="114" spans="1:32" ht="11.25">
      <c r="A114" s="45" t="s">
        <v>261</v>
      </c>
      <c r="J114" s="48">
        <f>$I$107*J83*1000000*Electricity!$G$19/(Gasoline!$G$27*1000000000000)*Gasoline!$G$25</f>
        <v>242.53051476186678</v>
      </c>
      <c r="K114" s="48">
        <f>$I$107*K83*1000000*Electricity!$G$19/(Gasoline!$G$27*1000000000000)*Gasoline!$G$25</f>
        <v>537.0843181035441</v>
      </c>
      <c r="L114" s="48">
        <f>$I$107*L83*1000000*Electricity!$G$19/(Gasoline!$G$27*1000000000000)*Gasoline!$G$25</f>
        <v>879.8643361276678</v>
      </c>
      <c r="M114" s="48">
        <f>$I$107*M83*1000000*Electricity!$G$19/(Gasoline!$G$27*1000000000000)*Gasoline!$G$25</f>
        <v>1267.1923828996546</v>
      </c>
      <c r="N114" s="48">
        <f>$I$107*N83*1000000*Electricity!$G$19/(Gasoline!$G$27*1000000000000)*Gasoline!$G$25</f>
        <v>1695.5164700489058</v>
      </c>
      <c r="O114" s="48">
        <f>$I$107*O83*1000000*Electricity!$G$19/(Gasoline!$G$27*1000000000000)*Gasoline!$G$25</f>
        <v>2161.418258381401</v>
      </c>
      <c r="P114" s="48">
        <f>$I$107*P83*1000000*Electricity!$G$19/(Gasoline!$G$27*1000000000000)*Gasoline!$G$25</f>
        <v>2661.6199446172063</v>
      </c>
      <c r="Q114" s="48">
        <f>$I$107*Q83*1000000*Electricity!$G$19/(Gasoline!$G$27*1000000000000)*Gasoline!$G$25</f>
        <v>3192.9901753332088</v>
      </c>
      <c r="R114" s="48">
        <f>$I$107*R83*1000000*Electricity!$G$19/(Gasoline!$G$27*1000000000000)*Gasoline!$G$25</f>
        <v>3752.548773945001</v>
      </c>
      <c r="S114" s="48">
        <f>$I$107*S83*1000000*Electricity!$G$19/(Gasoline!$G$27*1000000000000)*Gasoline!$G$25</f>
        <v>4337.470192966854</v>
      </c>
      <c r="T114" s="48">
        <f>$I$107*T83*1000000*Electricity!$G$19/(Gasoline!$G$27*1000000000000)*Gasoline!$G$25</f>
        <v>4898.628891076292</v>
      </c>
      <c r="U114" s="48">
        <f>$I$107*U83*1000000*Electricity!$G$19/(Gasoline!$G$27*1000000000000)*Gasoline!$G$25</f>
        <v>5439.699320430175</v>
      </c>
      <c r="V114" s="48">
        <f>$I$107*V83*1000000*Electricity!$G$19/(Gasoline!$G$27*1000000000000)*Gasoline!$G$25</f>
        <v>5963.731642454823</v>
      </c>
      <c r="W114" s="48">
        <f>$I$107*W83*1000000*Electricity!$G$19/(Gasoline!$G$27*1000000000000)*Gasoline!$G$25</f>
        <v>6453.805448202395</v>
      </c>
      <c r="X114" s="48">
        <f>$I$107*X83*1000000*Electricity!$G$19/(Gasoline!$G$27*1000000000000)*Gasoline!$G$25</f>
        <v>6913.701408103773</v>
      </c>
      <c r="Y114" s="48">
        <f>$I$107*Y83*1000000*Electricity!$G$19/(Gasoline!$G$27*1000000000000)*Gasoline!$G$25</f>
        <v>7346.594175089752</v>
      </c>
      <c r="Z114" s="48">
        <f>$I$107*Z83*1000000*Electricity!$G$19/(Gasoline!$G$27*1000000000000)*Gasoline!$G$25</f>
        <v>7755.162630045927</v>
      </c>
      <c r="AA114" s="48">
        <f>$I$107*AA83*1000000*Electricity!$G$19/(Gasoline!$G$27*1000000000000)*Gasoline!$G$25</f>
        <v>8141.676285762715</v>
      </c>
      <c r="AB114" s="48">
        <f>$I$107*AB83*1000000*Electricity!$G$19/(Gasoline!$G$27*1000000000000)*Gasoline!$G$25</f>
        <v>8508.063696476176</v>
      </c>
      <c r="AC114" s="48">
        <f>$I$107*AC83*1000000*Electricity!$G$19/(Gasoline!$G$27*1000000000000)*Gasoline!$G$25</f>
        <v>8855.967118884424</v>
      </c>
      <c r="AD114" s="48">
        <f>$I$107*AD83*1000000*Electricity!$G$19/(Gasoline!$G$27*1000000000000)*Gasoline!$G$25</f>
        <v>9186.786551115289</v>
      </c>
      <c r="AE114" s="48">
        <f>$I$107*AE83*1000000*Electricity!$G$19/(Gasoline!$G$27*1000000000000)*Gasoline!$G$25</f>
        <v>9501.71548119057</v>
      </c>
      <c r="AF114" s="48">
        <f>$I$107*AF83*1000000*Electricity!$G$19/(Gasoline!$G$27*1000000000000)*Gasoline!$G$25</f>
        <v>9801.77010393587</v>
      </c>
    </row>
    <row r="115" ht="11.25">
      <c r="A115" s="45"/>
    </row>
    <row r="116" spans="1:32" ht="12">
      <c r="A116" s="9" t="s">
        <v>220</v>
      </c>
      <c r="J116" s="28">
        <f aca="true" t="shared" si="20" ref="J116:AF116">SUM(J117:J120)</f>
        <v>277.152863382793</v>
      </c>
      <c r="K116" s="28">
        <f t="shared" si="20"/>
        <v>615.1510432832306</v>
      </c>
      <c r="L116" s="28">
        <f t="shared" si="20"/>
        <v>1009.6881015497243</v>
      </c>
      <c r="M116" s="28">
        <f t="shared" si="20"/>
        <v>1456.5936450151785</v>
      </c>
      <c r="N116" s="28">
        <f t="shared" si="20"/>
        <v>1951.8364017190456</v>
      </c>
      <c r="O116" s="28">
        <f t="shared" si="20"/>
        <v>2491.529186343234</v>
      </c>
      <c r="P116" s="28">
        <f t="shared" si="20"/>
        <v>3071.9345483928246</v>
      </c>
      <c r="Q116" s="28">
        <f t="shared" si="20"/>
        <v>3689.470344440044</v>
      </c>
      <c r="R116" s="28">
        <f t="shared" si="20"/>
        <v>4340.71476501256</v>
      </c>
      <c r="S116" s="28">
        <f t="shared" si="20"/>
        <v>5022.410537003164</v>
      </c>
      <c r="T116" s="28">
        <f t="shared" si="20"/>
        <v>5676.042979580487</v>
      </c>
      <c r="U116" s="28">
        <f t="shared" si="20"/>
        <v>6306.03574034793</v>
      </c>
      <c r="V116" s="28">
        <f t="shared" si="20"/>
        <v>6916.044975892598</v>
      </c>
      <c r="W116" s="28">
        <f t="shared" si="20"/>
        <v>7484.897519581757</v>
      </c>
      <c r="X116" s="28">
        <f t="shared" si="20"/>
        <v>8017.038747279321</v>
      </c>
      <c r="Y116" s="28">
        <f t="shared" si="20"/>
        <v>8516.168567630759</v>
      </c>
      <c r="Z116" s="28">
        <f t="shared" si="20"/>
        <v>8985.375866010694</v>
      </c>
      <c r="AA116" s="28">
        <f t="shared" si="20"/>
        <v>9427.242797324265</v>
      </c>
      <c r="AB116" s="28">
        <f t="shared" si="20"/>
        <v>9843.92647529584</v>
      </c>
      <c r="AC116" s="28">
        <f t="shared" si="20"/>
        <v>10237.223468963108</v>
      </c>
      <c r="AD116" s="28">
        <f t="shared" si="20"/>
        <v>10608.621044565927</v>
      </c>
      <c r="AE116" s="28">
        <f t="shared" si="20"/>
        <v>10959.33805785923</v>
      </c>
      <c r="AF116" s="28">
        <f t="shared" si="20"/>
        <v>11290.357665054033</v>
      </c>
    </row>
    <row r="117" spans="1:32" ht="11.25">
      <c r="A117" s="45" t="s">
        <v>119</v>
      </c>
      <c r="J117" s="48">
        <f>J111*1000000000000/(Emissions!$G$25*1000000*365*1000)</f>
        <v>10.120539265544386</v>
      </c>
      <c r="K117" s="48">
        <f>K111*1000000000000/(Emissions!$G$25*1000000*365*1000)</f>
        <v>21.344324810353655</v>
      </c>
      <c r="L117" s="48">
        <f>L111*1000000000000/(Emissions!$G$25*1000000*365*1000)</f>
        <v>33.4649535854248</v>
      </c>
      <c r="M117" s="48">
        <f>M111*1000000000000/(Emissions!$G$25*1000000*365*1000)</f>
        <v>46.30039840637989</v>
      </c>
      <c r="N117" s="48">
        <f>N111*1000000000000/(Emissions!$G$25*1000000*365*1000)</f>
        <v>59.69097569059799</v>
      </c>
      <c r="O117" s="48">
        <f>O111*1000000000000/(Emissions!$G$25*1000000*365*1000)</f>
        <v>73.49744843979502</v>
      </c>
      <c r="P117" s="48">
        <f>P111*1000000000000/(Emissions!$G$25*1000000*365*1000)</f>
        <v>87.59922685401555</v>
      </c>
      <c r="Q117" s="48">
        <f>Q111*1000000000000/(Emissions!$G$25*1000000*365*1000)</f>
        <v>101.89265383692457</v>
      </c>
      <c r="R117" s="48">
        <f>R111*1000000000000/(Emissions!$G$25*1000000*365*1000)</f>
        <v>116.28937423575121</v>
      </c>
      <c r="S117" s="48">
        <f>S111*1000000000000/(Emissions!$G$25*1000000*365*1000)</f>
        <v>130.71479127799685</v>
      </c>
      <c r="T117" s="48">
        <f>T111*1000000000000/(Emissions!$G$25*1000000*365*1000)</f>
        <v>144.18253462982858</v>
      </c>
      <c r="U117" s="48">
        <f>U111*1000000000000/(Emissions!$G$25*1000000*365*1000)</f>
        <v>156.86510622635063</v>
      </c>
      <c r="V117" s="48">
        <f>V111*1000000000000/(Emissions!$G$25*1000000*365*1000)</f>
        <v>168.8978870790445</v>
      </c>
      <c r="W117" s="48">
        <f>W111*1000000000000/(Emissions!$G$25*1000000*365*1000)</f>
        <v>180.17929963615677</v>
      </c>
      <c r="X117" s="48">
        <f>X111*1000000000000/(Emissions!$G$25*1000000*365*1000)</f>
        <v>190.83597638050887</v>
      </c>
      <c r="Y117" s="48">
        <f>Y111*1000000000000/(Emissions!$G$25*1000000*365*1000)</f>
        <v>200.9711722963646</v>
      </c>
      <c r="Z117" s="48">
        <f>Z111*1000000000000/(Emissions!$G$25*1000000*365*1000)</f>
        <v>210.67003558612168</v>
      </c>
      <c r="AA117" s="48">
        <f>AA111*1000000000000/(Emissions!$G$25*1000000*365*1000)</f>
        <v>220.00350929722967</v>
      </c>
      <c r="AB117" s="48">
        <f>AB111*1000000000000/(Emissions!$G$25*1000000*365*1000)</f>
        <v>229.0312640093635</v>
      </c>
      <c r="AC117" s="48">
        <f>AC111*1000000000000/(Emissions!$G$25*1000000*365*1000)</f>
        <v>237.80393246775114</v>
      </c>
      <c r="AD117" s="48">
        <f>AD111*1000000000000/(Emissions!$G$25*1000000*365*1000)</f>
        <v>246.36483326704638</v>
      </c>
      <c r="AE117" s="48">
        <f>AE111*1000000000000/(Emissions!$G$25*1000000*365*1000)</f>
        <v>254.75131516173823</v>
      </c>
      <c r="AF117" s="48">
        <f>AF111*1000000000000/(Emissions!$G$25*1000000*365*1000)</f>
        <v>262.995816035178</v>
      </c>
    </row>
    <row r="118" spans="1:32" ht="11.25">
      <c r="A118" s="45" t="s">
        <v>204</v>
      </c>
      <c r="J118" s="52">
        <f>J112*1000000000000/(Gasoline!$G$23*1000000*365*1000)</f>
        <v>129.94566029119736</v>
      </c>
      <c r="K118" s="52">
        <f>K112*1000000000000/(Gasoline!$G$23*1000000*365*1000)</f>
        <v>283.851328093904</v>
      </c>
      <c r="L118" s="52">
        <f>L112*1000000000000/(Gasoline!$G$23*1000000*365*1000)</f>
        <v>459.72661248840507</v>
      </c>
      <c r="M118" s="52">
        <f>M112*1000000000000/(Gasoline!$G$23*1000000*365*1000)</f>
        <v>655.671195760223</v>
      </c>
      <c r="N118" s="52">
        <f>N112*1000000000000/(Gasoline!$G$23*1000000*365*1000)</f>
        <v>869.8717577542186</v>
      </c>
      <c r="O118" s="52">
        <f>O112*1000000000000/(Gasoline!$G$23*1000000*365*1000)</f>
        <v>1100.6001221987508</v>
      </c>
      <c r="P118" s="52">
        <f>P112*1000000000000/(Gasoline!$G$23*1000000*365*1000)</f>
        <v>1346.2120791221041</v>
      </c>
      <c r="Q118" s="52">
        <f>Q112*1000000000000/(Gasoline!$G$23*1000000*365*1000)</f>
        <v>1605.14652821892</v>
      </c>
      <c r="R118" s="52">
        <f>R112*1000000000000/(Gasoline!$G$23*1000000*365*1000)</f>
        <v>1875.9247137335358</v>
      </c>
      <c r="S118" s="52">
        <f>S112*1000000000000/(Gasoline!$G$23*1000000*365*1000)</f>
        <v>2157.1494055489165</v>
      </c>
      <c r="T118" s="52">
        <f>T112*1000000000000/(Gasoline!$G$23*1000000*365*1000)</f>
        <v>2425.919888324993</v>
      </c>
      <c r="U118" s="52">
        <f>U112*1000000000000/(Gasoline!$G$23*1000000*365*1000)</f>
        <v>2683.9199518301134</v>
      </c>
      <c r="V118" s="52">
        <f>V112*1000000000000/(Gasoline!$G$23*1000000*365*1000)</f>
        <v>2932.5513390794918</v>
      </c>
      <c r="W118" s="52">
        <f>W112*1000000000000/(Gasoline!$G$23*1000000*365*1000)</f>
        <v>3163.1345882920227</v>
      </c>
      <c r="X118" s="52">
        <f>X112*1000000000000/(Gasoline!$G$23*1000000*365*1000)</f>
        <v>3377.512124638891</v>
      </c>
      <c r="Y118" s="52">
        <f>Y112*1000000000000/(Gasoline!$G$23*1000000*365*1000)</f>
        <v>3577.243455077322</v>
      </c>
      <c r="Z118" s="52">
        <f>Z112*1000000000000/(Gasoline!$G$23*1000000*365*1000)</f>
        <v>3763.654822410546</v>
      </c>
      <c r="AA118" s="52">
        <f>AA112*1000000000000/(Gasoline!$G$23*1000000*365*1000)</f>
        <v>3937.878396884741</v>
      </c>
      <c r="AB118" s="52">
        <f>AB112*1000000000000/(Gasoline!$G$23*1000000*365*1000)</f>
        <v>4100.883518628733</v>
      </c>
      <c r="AC118" s="52">
        <f>AC112*1000000000000/(Gasoline!$G$23*1000000*365*1000)</f>
        <v>4253.501826069619</v>
      </c>
      <c r="AD118" s="52">
        <f>AD112*1000000000000/(Gasoline!$G$23*1000000*365*1000)</f>
        <v>4396.447629150956</v>
      </c>
      <c r="AE118" s="52">
        <f>AE112*1000000000000/(Gasoline!$G$23*1000000*365*1000)</f>
        <v>4530.334546323192</v>
      </c>
      <c r="AF118" s="52">
        <f>AF112*1000000000000/(Gasoline!$G$23*1000000*365*1000)</f>
        <v>4655.689178276775</v>
      </c>
    </row>
    <row r="119" spans="1:32" ht="11.25">
      <c r="A119" s="45" t="s">
        <v>257</v>
      </c>
      <c r="J119" s="52">
        <f>J113*1000000000000/(Aviation!$G$23*1000000*365*1000)</f>
        <v>12.979984010746467</v>
      </c>
      <c r="K119" s="52">
        <f>K113*1000000000000/(Aviation!$G$23*1000000*365*1000)</f>
        <v>35.12089556851544</v>
      </c>
      <c r="L119" s="52">
        <f>L113*1000000000000/(Aviation!$G$23*1000000*365*1000)</f>
        <v>66.25611293805663</v>
      </c>
      <c r="M119" s="52">
        <f>M113*1000000000000/(Aviation!$G$23*1000000*365*1000)</f>
        <v>106.17977345788847</v>
      </c>
      <c r="N119" s="52">
        <f>N113*1000000000000/(Aviation!$G$23*1000000*365*1000)</f>
        <v>154.6512172331919</v>
      </c>
      <c r="O119" s="52">
        <f>O113*1000000000000/(Aviation!$G$23*1000000*365*1000)</f>
        <v>211.39989015758653</v>
      </c>
      <c r="P119" s="52">
        <f>P113*1000000000000/(Aviation!$G$23*1000000*365*1000)</f>
        <v>276.1304450115096</v>
      </c>
      <c r="Q119" s="52">
        <f>Q113*1000000000000/(Aviation!$G$23*1000000*365*1000)</f>
        <v>348.5278585769271</v>
      </c>
      <c r="R119" s="52">
        <f>R113*1000000000000/(Aviation!$G$23*1000000*365*1000)</f>
        <v>428.26243553135697</v>
      </c>
      <c r="S119" s="52">
        <f>S113*1000000000000/(Aviation!$G$23*1000000*365*1000)</f>
        <v>514.9946067561709</v>
      </c>
      <c r="T119" s="52">
        <f>T113*1000000000000/(Aviation!$G$23*1000000*365*1000)</f>
        <v>599.2350894157476</v>
      </c>
      <c r="U119" s="52">
        <f>U113*1000000000000/(Aviation!$G$23*1000000*365*1000)</f>
        <v>681.6709644360793</v>
      </c>
      <c r="V119" s="52">
        <f>V113*1000000000000/(Aviation!$G$23*1000000*365*1000)</f>
        <v>762.8604487915718</v>
      </c>
      <c r="W119" s="52">
        <f>W113*1000000000000/(Aviation!$G$23*1000000*365*1000)</f>
        <v>839.0698546273645</v>
      </c>
      <c r="X119" s="52">
        <f>X113*1000000000000/(Aviation!$G$23*1000000*365*1000)</f>
        <v>910.8408716175987</v>
      </c>
      <c r="Y119" s="52">
        <f>Y113*1000000000000/(Aviation!$G$23*1000000*365*1000)</f>
        <v>978.5861266189506</v>
      </c>
      <c r="Z119" s="52">
        <f>Z113*1000000000000/(Aviation!$G$23*1000000*365*1000)</f>
        <v>1042.6122885079712</v>
      </c>
      <c r="AA119" s="52">
        <f>AA113*1000000000000/(Aviation!$G$23*1000000*365*1000)</f>
        <v>1103.1370534980724</v>
      </c>
      <c r="AB119" s="52">
        <f>AB113*1000000000000/(Aviation!$G$23*1000000*365*1000)</f>
        <v>1160.3016530631369</v>
      </c>
      <c r="AC119" s="52">
        <f>AC113*1000000000000/(Aviation!$G$23*1000000*365*1000)</f>
        <v>1214.1800164806527</v>
      </c>
      <c r="AD119" s="52">
        <f>AD113*1000000000000/(Aviation!$G$23*1000000*365*1000)</f>
        <v>1264.7853803859405</v>
      </c>
      <c r="AE119" s="52">
        <f>AE113*1000000000000/(Aviation!$G$23*1000000*365*1000)</f>
        <v>1312.0749067326692</v>
      </c>
      <c r="AF119" s="52">
        <f>AF113*1000000000000/(Aviation!$G$23*1000000*365*1000)</f>
        <v>1355.9527102793504</v>
      </c>
    </row>
    <row r="120" spans="1:32" ht="11.25">
      <c r="A120" s="45" t="s">
        <v>121</v>
      </c>
      <c r="J120" s="48">
        <f>J114*1000000000000/(Emissions!$G$28*1000000*365*1000)</f>
        <v>124.10667981530479</v>
      </c>
      <c r="K120" s="48">
        <f>K114*1000000000000/(Emissions!$G$28*1000000*365*1000)</f>
        <v>274.83449481045744</v>
      </c>
      <c r="L120" s="48">
        <f>L114*1000000000000/(Emissions!$G$28*1000000*365*1000)</f>
        <v>450.2404225378377</v>
      </c>
      <c r="M120" s="48">
        <f>M114*1000000000000/(Emissions!$G$28*1000000*365*1000)</f>
        <v>648.4422773906871</v>
      </c>
      <c r="N120" s="48">
        <f>N114*1000000000000/(Emissions!$G$28*1000000*365*1000)</f>
        <v>867.6224510410374</v>
      </c>
      <c r="O120" s="48">
        <f>O114*1000000000000/(Emissions!$G$28*1000000*365*1000)</f>
        <v>1106.0317255471014</v>
      </c>
      <c r="P120" s="48">
        <f>P114*1000000000000/(Emissions!$G$28*1000000*365*1000)</f>
        <v>1361.9927974051952</v>
      </c>
      <c r="Q120" s="48">
        <f>Q114*1000000000000/(Emissions!$G$28*1000000*365*1000)</f>
        <v>1633.903303807272</v>
      </c>
      <c r="R120" s="48">
        <f>R114*1000000000000/(Emissions!$G$28*1000000*365*1000)</f>
        <v>1920.2382415119157</v>
      </c>
      <c r="S120" s="48">
        <f>S114*1000000000000/(Emissions!$G$28*1000000*365*1000)</f>
        <v>2219.5517334200795</v>
      </c>
      <c r="T120" s="48">
        <f>T114*1000000000000/(Emissions!$G$28*1000000*365*1000)</f>
        <v>2506.705467209917</v>
      </c>
      <c r="U120" s="48">
        <f>U114*1000000000000/(Emissions!$G$28*1000000*365*1000)</f>
        <v>2783.5797178553867</v>
      </c>
      <c r="V120" s="48">
        <f>V114*1000000000000/(Emissions!$G$28*1000000*365*1000)</f>
        <v>3051.7353009424896</v>
      </c>
      <c r="W120" s="48">
        <f>W114*1000000000000/(Emissions!$G$28*1000000*365*1000)</f>
        <v>3302.5137770262127</v>
      </c>
      <c r="X120" s="48">
        <f>X114*1000000000000/(Emissions!$G$28*1000000*365*1000)</f>
        <v>3537.8497746423227</v>
      </c>
      <c r="Y120" s="48">
        <f>Y114*1000000000000/(Emissions!$G$28*1000000*365*1000)</f>
        <v>3759.367813638121</v>
      </c>
      <c r="Z120" s="48">
        <f>Z114*1000000000000/(Emissions!$G$28*1000000*365*1000)</f>
        <v>3968.4387195060544</v>
      </c>
      <c r="AA120" s="48">
        <f>AA114*1000000000000/(Emissions!$G$28*1000000*365*1000)</f>
        <v>4166.223837644222</v>
      </c>
      <c r="AB120" s="48">
        <f>AB114*1000000000000/(Emissions!$G$28*1000000*365*1000)</f>
        <v>4353.710039594606</v>
      </c>
      <c r="AC120" s="48">
        <f>AC114*1000000000000/(Emissions!$G$28*1000000*365*1000)</f>
        <v>4531.737693945085</v>
      </c>
      <c r="AD120" s="48">
        <f>AD114*1000000000000/(Emissions!$G$28*1000000*365*1000)</f>
        <v>4701.023201761985</v>
      </c>
      <c r="AE120" s="48">
        <f>AE114*1000000000000/(Emissions!$G$28*1000000*365*1000)</f>
        <v>4862.1772896416305</v>
      </c>
      <c r="AF120" s="48">
        <f>AF114*1000000000000/(Emissions!$G$28*1000000*365*1000)</f>
        <v>5015.719960462729</v>
      </c>
    </row>
    <row r="123" ht="11.25">
      <c r="L123" s="49"/>
    </row>
  </sheetData>
  <mergeCells count="12">
    <mergeCell ref="G70:H70"/>
    <mergeCell ref="J107:Y108"/>
    <mergeCell ref="A64:H65"/>
    <mergeCell ref="G69:H69"/>
    <mergeCell ref="G71:H71"/>
    <mergeCell ref="A10:I12"/>
    <mergeCell ref="G68:H68"/>
    <mergeCell ref="A24:I25"/>
    <mergeCell ref="A32:I33"/>
    <mergeCell ref="A41:I43"/>
    <mergeCell ref="A47:I48"/>
    <mergeCell ref="A50:I51"/>
  </mergeCells>
  <conditionalFormatting sqref="L123 J95:AF99">
    <cfRule type="cellIs" priority="1" dxfId="0" operator="lessThan" stopIfTrue="1">
      <formula>0</formula>
    </cfRule>
  </conditionalFormatting>
  <printOptions gridLines="1"/>
  <pageMargins left="0.52" right="0.42" top="1" bottom="1" header="0.5" footer="0.5"/>
  <pageSetup horizontalDpi="600" verticalDpi="600" orientation="portrait" r:id="rId1"/>
  <rowBreaks count="1" manualBreakCount="1">
    <brk id="44" max="31" man="1"/>
  </rowBreaks>
</worksheet>
</file>

<file path=xl/worksheets/sheet2.xml><?xml version="1.0" encoding="utf-8"?>
<worksheet xmlns="http://schemas.openxmlformats.org/spreadsheetml/2006/main" xmlns:r="http://schemas.openxmlformats.org/officeDocument/2006/relationships">
  <dimension ref="A1:AG150"/>
  <sheetViews>
    <sheetView workbookViewId="0" topLeftCell="A1">
      <selection activeCell="A13" sqref="A13"/>
    </sheetView>
  </sheetViews>
  <sheetFormatPr defaultColWidth="9.140625" defaultRowHeight="12"/>
  <cols>
    <col min="7" max="7" width="12.140625" style="0" customWidth="1"/>
    <col min="9" max="9" width="8.8515625" style="33" customWidth="1"/>
    <col min="10" max="10" width="8.8515625" style="0" customWidth="1"/>
    <col min="17" max="17" width="9.57421875" style="0" bestFit="1" customWidth="1"/>
    <col min="18" max="19" width="9.28125" style="0" bestFit="1" customWidth="1"/>
    <col min="20" max="24" width="9.57421875" style="0" bestFit="1" customWidth="1"/>
    <col min="25" max="25" width="9.28125" style="0" bestFit="1" customWidth="1"/>
    <col min="26" max="26" width="9.57421875" style="0" bestFit="1" customWidth="1"/>
    <col min="27" max="27" width="9.28125" style="0" bestFit="1" customWidth="1"/>
    <col min="28" max="29" width="9.57421875" style="0" bestFit="1" customWidth="1"/>
    <col min="30" max="32" width="9.28125" style="0" bestFit="1" customWidth="1"/>
  </cols>
  <sheetData>
    <row r="1" spans="1:5" ht="12.75">
      <c r="A1" s="1" t="s">
        <v>31</v>
      </c>
      <c r="E1" t="s">
        <v>154</v>
      </c>
    </row>
    <row r="2" ht="12.75">
      <c r="A2" s="1"/>
    </row>
    <row r="3" spans="1:10" ht="11.25">
      <c r="A3" s="155" t="s">
        <v>2</v>
      </c>
      <c r="B3" s="155"/>
      <c r="C3" s="155"/>
      <c r="D3" s="155"/>
      <c r="E3" s="155"/>
      <c r="F3" s="117"/>
      <c r="G3" s="80" t="s">
        <v>34</v>
      </c>
      <c r="I3" s="80" t="s">
        <v>130</v>
      </c>
      <c r="J3" s="80" t="s">
        <v>133</v>
      </c>
    </row>
    <row r="4" spans="1:10" ht="11.25">
      <c r="A4" s="155"/>
      <c r="B4" s="155"/>
      <c r="C4" s="155"/>
      <c r="D4" s="155"/>
      <c r="E4" s="155"/>
      <c r="F4" s="117"/>
      <c r="G4" s="81" t="s">
        <v>96</v>
      </c>
      <c r="I4" s="81" t="s">
        <v>131</v>
      </c>
      <c r="J4" s="81" t="s">
        <v>134</v>
      </c>
    </row>
    <row r="5" spans="1:10" ht="11.25">
      <c r="A5" s="155"/>
      <c r="B5" s="155"/>
      <c r="C5" s="155"/>
      <c r="D5" s="155"/>
      <c r="E5" s="155"/>
      <c r="F5" s="117"/>
      <c r="G5" s="81" t="s">
        <v>97</v>
      </c>
      <c r="I5" s="81" t="s">
        <v>132</v>
      </c>
      <c r="J5" s="81" t="s">
        <v>135</v>
      </c>
    </row>
    <row r="6" spans="1:10" ht="12.75">
      <c r="A6" s="1"/>
      <c r="G6" s="81" t="s">
        <v>143</v>
      </c>
      <c r="I6" s="82" t="s">
        <v>142</v>
      </c>
      <c r="J6" s="82" t="s">
        <v>136</v>
      </c>
    </row>
    <row r="7" spans="7:32" ht="11.25">
      <c r="G7" s="96" t="s">
        <v>144</v>
      </c>
      <c r="H7" s="13"/>
      <c r="I7" s="93">
        <v>2007</v>
      </c>
      <c r="J7" s="94">
        <f>Summary!J65</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7:32" ht="11.25">
      <c r="G8" s="95"/>
      <c r="H8" s="13"/>
      <c r="I8" s="93"/>
      <c r="J8" s="94"/>
      <c r="K8" s="13"/>
      <c r="L8" s="13"/>
      <c r="M8" s="13"/>
      <c r="N8" s="13"/>
      <c r="O8" s="13"/>
      <c r="P8" s="13"/>
      <c r="Q8" s="13"/>
      <c r="R8" s="13"/>
      <c r="S8" s="13"/>
      <c r="T8" s="13"/>
      <c r="U8" s="13"/>
      <c r="V8" s="13"/>
      <c r="W8" s="13"/>
      <c r="X8" s="13"/>
      <c r="Y8" s="13"/>
      <c r="Z8" s="13"/>
      <c r="AA8" s="13"/>
      <c r="AB8" s="13"/>
      <c r="AC8" s="13"/>
      <c r="AD8" s="13"/>
      <c r="AE8" s="13"/>
      <c r="AF8" s="13"/>
    </row>
    <row r="9" spans="1:32" ht="12">
      <c r="A9" s="97" t="s">
        <v>145</v>
      </c>
      <c r="G9" s="95"/>
      <c r="H9" s="13"/>
      <c r="I9" s="93"/>
      <c r="J9" s="94"/>
      <c r="K9" s="13"/>
      <c r="L9" s="13"/>
      <c r="M9" s="13"/>
      <c r="N9" s="13"/>
      <c r="O9" s="13"/>
      <c r="P9" s="13"/>
      <c r="Q9" s="13"/>
      <c r="R9" s="13"/>
      <c r="S9" s="13"/>
      <c r="T9" s="13"/>
      <c r="U9" s="13"/>
      <c r="V9" s="13"/>
      <c r="W9" s="13"/>
      <c r="X9" s="13"/>
      <c r="Y9" s="13"/>
      <c r="Z9" s="13"/>
      <c r="AA9" s="13"/>
      <c r="AB9" s="13"/>
      <c r="AC9" s="13"/>
      <c r="AD9" s="13"/>
      <c r="AE9" s="13"/>
      <c r="AF9" s="13"/>
    </row>
    <row r="10" ht="12">
      <c r="A10" s="106" t="s">
        <v>146</v>
      </c>
    </row>
    <row r="12" spans="1:7" ht="11.25">
      <c r="A12" s="97" t="s">
        <v>269</v>
      </c>
      <c r="G12" s="92">
        <f>MAX(Summary!H53,0.001)</f>
        <v>10</v>
      </c>
    </row>
    <row r="13" spans="1:7" ht="11.25">
      <c r="A13" s="3" t="s">
        <v>301</v>
      </c>
      <c r="G13" s="92"/>
    </row>
    <row r="14" spans="1:32" ht="11.25">
      <c r="A14" t="s">
        <v>129</v>
      </c>
      <c r="G14" s="2"/>
      <c r="I14" s="68" t="s">
        <v>141</v>
      </c>
      <c r="J14" s="62" t="str">
        <f>IF(J$7&gt;=$I$7,"YES","NO")</f>
        <v>YES</v>
      </c>
      <c r="K14" s="62" t="str">
        <f aca="true" t="shared" si="1" ref="K14:AF14">IF(K$7&gt;=$I$7,"YES","NO")</f>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2" t="s">
        <v>141</v>
      </c>
      <c r="J15" s="62" t="str">
        <f>IF(J$7&gt;Summary!$H62,"YES","NO")</f>
        <v>NO</v>
      </c>
      <c r="K15" s="62" t="str">
        <f>IF(K$7&gt;Summary!$H62,"YES","NO")</f>
        <v>NO</v>
      </c>
      <c r="L15" s="62" t="str">
        <f>IF(L$7&gt;Summary!$H62,"YES","NO")</f>
        <v>NO</v>
      </c>
      <c r="M15" s="62" t="str">
        <f>IF(M$7&gt;Summary!$H62,"YES","NO")</f>
        <v>NO</v>
      </c>
      <c r="N15" s="62" t="str">
        <f>IF(N$7&gt;Summary!$H62,"YES","NO")</f>
        <v>NO</v>
      </c>
      <c r="O15" s="62" t="str">
        <f>IF(O$7&gt;Summary!$H62,"YES","NO")</f>
        <v>NO</v>
      </c>
      <c r="P15" s="62" t="str">
        <f>IF(P$7&gt;Summary!$H62,"YES","NO")</f>
        <v>NO</v>
      </c>
      <c r="Q15" s="62" t="str">
        <f>IF(Q$7&gt;Summary!$H62,"YES","NO")</f>
        <v>NO</v>
      </c>
      <c r="R15" s="62" t="str">
        <f>IF(R$7&gt;Summary!$H62,"YES","NO")</f>
        <v>NO</v>
      </c>
      <c r="S15" s="62" t="str">
        <f>IF(S$7&gt;Summary!$H62,"YES","NO")</f>
        <v>NO</v>
      </c>
      <c r="T15" s="62" t="str">
        <f>IF(T$7&gt;Summary!$H62,"YES","NO")</f>
        <v>NO</v>
      </c>
      <c r="U15" s="62" t="str">
        <f>IF(U$7&gt;Summary!$H62,"YES","NO")</f>
        <v>NO</v>
      </c>
      <c r="V15" s="62" t="str">
        <f>IF(V$7&gt;Summary!$H62,"YES","NO")</f>
        <v>NO</v>
      </c>
      <c r="W15" s="62" t="str">
        <f>IF(W$7&gt;Summary!$H62,"YES","NO")</f>
        <v>NO</v>
      </c>
      <c r="X15" s="62" t="str">
        <f>IF(X$7&gt;Summary!$H62,"YES","NO")</f>
        <v>NO</v>
      </c>
      <c r="Y15" s="62" t="str">
        <f>IF(Y$7&gt;Summary!$H62,"YES","NO")</f>
        <v>NO</v>
      </c>
      <c r="Z15" s="62" t="str">
        <f>IF(Z$7&gt;Summary!$H62,"YES","NO")</f>
        <v>NO</v>
      </c>
      <c r="AA15" s="62" t="str">
        <f>IF(AA$7&gt;Summary!$H62,"YES","NO")</f>
        <v>NO</v>
      </c>
      <c r="AB15" s="62" t="str">
        <f>IF(AB$7&gt;Summary!$H62,"YES","NO")</f>
        <v>NO</v>
      </c>
      <c r="AC15" s="62" t="str">
        <f>IF(AC$7&gt;Summary!$H62,"YES","NO")</f>
        <v>NO</v>
      </c>
      <c r="AD15" s="62" t="str">
        <f>IF(AD$7&gt;Summary!$H62,"YES","NO")</f>
        <v>NO</v>
      </c>
      <c r="AE15" s="62" t="str">
        <f>IF(AE$7&gt;Summary!$H62,"YES","NO")</f>
        <v>NO</v>
      </c>
      <c r="AF15" s="62" t="str">
        <f>IF(AF$7&gt;Summary!$H62,"YES","NO")</f>
        <v>NO</v>
      </c>
    </row>
    <row r="16" spans="1:32" ht="11.25">
      <c r="A16" t="s">
        <v>137</v>
      </c>
      <c r="I16">
        <f>IF(I14="NO",0,(IF(I14="YES",H16+1,3)))</f>
        <v>0</v>
      </c>
      <c r="J16">
        <f aca="true" t="shared" si="2" ref="J16:W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aca="true" t="shared" si="3" ref="X16:AF16">IF(X14="NO",0,(IF(AND(X14="YES",X15="NO"),W16+1,W16)))</f>
        <v>15</v>
      </c>
      <c r="Y16">
        <f t="shared" si="3"/>
        <v>16</v>
      </c>
      <c r="Z16">
        <f t="shared" si="3"/>
        <v>17</v>
      </c>
      <c r="AA16">
        <f t="shared" si="3"/>
        <v>18</v>
      </c>
      <c r="AB16">
        <f t="shared" si="3"/>
        <v>19</v>
      </c>
      <c r="AC16">
        <f t="shared" si="3"/>
        <v>20</v>
      </c>
      <c r="AD16">
        <f t="shared" si="3"/>
        <v>21</v>
      </c>
      <c r="AE16">
        <f t="shared" si="3"/>
        <v>22</v>
      </c>
      <c r="AF16">
        <f t="shared" si="3"/>
        <v>23</v>
      </c>
    </row>
    <row r="17" spans="1:32" ht="11.25">
      <c r="A17" t="s">
        <v>270</v>
      </c>
      <c r="G17" s="2"/>
      <c r="I17" s="69">
        <f aca="true" t="shared" si="4" ref="I17:W17">I16*$G$12</f>
        <v>0</v>
      </c>
      <c r="J17" s="88">
        <f t="shared" si="4"/>
        <v>10</v>
      </c>
      <c r="K17" s="69">
        <f t="shared" si="4"/>
        <v>20</v>
      </c>
      <c r="L17" s="69">
        <f t="shared" si="4"/>
        <v>30</v>
      </c>
      <c r="M17" s="69">
        <f t="shared" si="4"/>
        <v>40</v>
      </c>
      <c r="N17" s="69">
        <f t="shared" si="4"/>
        <v>50</v>
      </c>
      <c r="O17" s="69">
        <f t="shared" si="4"/>
        <v>60</v>
      </c>
      <c r="P17" s="69">
        <f t="shared" si="4"/>
        <v>70</v>
      </c>
      <c r="Q17" s="69">
        <f t="shared" si="4"/>
        <v>80</v>
      </c>
      <c r="R17" s="69">
        <f t="shared" si="4"/>
        <v>90</v>
      </c>
      <c r="S17" s="69">
        <f t="shared" si="4"/>
        <v>100</v>
      </c>
      <c r="T17" s="69">
        <f t="shared" si="4"/>
        <v>110</v>
      </c>
      <c r="U17" s="69">
        <f t="shared" si="4"/>
        <v>120</v>
      </c>
      <c r="V17" s="69">
        <f t="shared" si="4"/>
        <v>130</v>
      </c>
      <c r="W17" s="69">
        <f t="shared" si="4"/>
        <v>140</v>
      </c>
      <c r="X17" s="69">
        <f aca="true" t="shared" si="5" ref="X17:AF17">X16*$G$12</f>
        <v>150</v>
      </c>
      <c r="Y17" s="69">
        <f t="shared" si="5"/>
        <v>160</v>
      </c>
      <c r="Z17" s="69">
        <f t="shared" si="5"/>
        <v>170</v>
      </c>
      <c r="AA17" s="69">
        <f t="shared" si="5"/>
        <v>180</v>
      </c>
      <c r="AB17" s="69">
        <f t="shared" si="5"/>
        <v>190</v>
      </c>
      <c r="AC17" s="69">
        <f t="shared" si="5"/>
        <v>200</v>
      </c>
      <c r="AD17" s="69">
        <f t="shared" si="5"/>
        <v>210</v>
      </c>
      <c r="AE17" s="69">
        <f t="shared" si="5"/>
        <v>220</v>
      </c>
      <c r="AF17" s="69">
        <f t="shared" si="5"/>
        <v>230</v>
      </c>
    </row>
    <row r="18" spans="1:10" ht="11.25">
      <c r="A18" t="s">
        <v>42</v>
      </c>
      <c r="G18" s="23">
        <f>44/12</f>
        <v>3.6666666666666665</v>
      </c>
      <c r="H18" s="2"/>
      <c r="J18" s="18"/>
    </row>
    <row r="19" spans="1:7" ht="11.25">
      <c r="A19" t="s">
        <v>35</v>
      </c>
      <c r="G19" s="20">
        <v>2205</v>
      </c>
    </row>
    <row r="20" spans="1:32" s="111" customFormat="1" ht="11.25">
      <c r="A20" s="111" t="s">
        <v>22</v>
      </c>
      <c r="G20" s="112"/>
      <c r="I20" s="113">
        <f>I17/$G$18*$G$19/2000</f>
        <v>0</v>
      </c>
      <c r="J20" s="114">
        <f aca="true" t="shared" si="6" ref="J20:AF20">J17*$G$19/2000</f>
        <v>11.025</v>
      </c>
      <c r="K20" s="114">
        <f t="shared" si="6"/>
        <v>22.05</v>
      </c>
      <c r="L20" s="114">
        <f t="shared" si="6"/>
        <v>33.075</v>
      </c>
      <c r="M20" s="114">
        <f t="shared" si="6"/>
        <v>44.1</v>
      </c>
      <c r="N20" s="114">
        <f t="shared" si="6"/>
        <v>55.125</v>
      </c>
      <c r="O20" s="114">
        <f t="shared" si="6"/>
        <v>66.15</v>
      </c>
      <c r="P20" s="114">
        <f t="shared" si="6"/>
        <v>77.175</v>
      </c>
      <c r="Q20" s="114">
        <f t="shared" si="6"/>
        <v>88.2</v>
      </c>
      <c r="R20" s="114">
        <f t="shared" si="6"/>
        <v>99.225</v>
      </c>
      <c r="S20" s="114">
        <f t="shared" si="6"/>
        <v>110.25</v>
      </c>
      <c r="T20" s="114">
        <f t="shared" si="6"/>
        <v>121.275</v>
      </c>
      <c r="U20" s="114">
        <f t="shared" si="6"/>
        <v>132.3</v>
      </c>
      <c r="V20" s="114">
        <f t="shared" si="6"/>
        <v>143.325</v>
      </c>
      <c r="W20" s="114">
        <f t="shared" si="6"/>
        <v>154.35</v>
      </c>
      <c r="X20" s="114">
        <f t="shared" si="6"/>
        <v>165.375</v>
      </c>
      <c r="Y20" s="114">
        <f t="shared" si="6"/>
        <v>176.4</v>
      </c>
      <c r="Z20" s="114">
        <f t="shared" si="6"/>
        <v>187.425</v>
      </c>
      <c r="AA20" s="114">
        <f t="shared" si="6"/>
        <v>198.45</v>
      </c>
      <c r="AB20" s="114">
        <f t="shared" si="6"/>
        <v>209.475</v>
      </c>
      <c r="AC20" s="114">
        <f t="shared" si="6"/>
        <v>220.5</v>
      </c>
      <c r="AD20" s="114">
        <f t="shared" si="6"/>
        <v>231.525</v>
      </c>
      <c r="AE20" s="114">
        <f t="shared" si="6"/>
        <v>242.55</v>
      </c>
      <c r="AF20" s="114">
        <f t="shared" si="6"/>
        <v>253.575</v>
      </c>
    </row>
    <row r="22" spans="1:33" ht="11.25">
      <c r="A22" t="s">
        <v>158</v>
      </c>
      <c r="F22" s="120" t="s">
        <v>159</v>
      </c>
      <c r="G22">
        <v>8.85</v>
      </c>
      <c r="I22" s="33">
        <f>G22+1/2</f>
        <v>9.35</v>
      </c>
      <c r="J22" s="24">
        <f aca="true" t="shared" si="7" ref="J22:AF22">$I22+J55</f>
        <v>10.00510478328168</v>
      </c>
      <c r="K22" s="24">
        <f t="shared" si="7"/>
        <v>10.620903279566459</v>
      </c>
      <c r="L22" s="24">
        <f t="shared" si="7"/>
        <v>11.199164271769199</v>
      </c>
      <c r="M22" s="24">
        <f t="shared" si="7"/>
        <v>11.741585791488163</v>
      </c>
      <c r="N22" s="24">
        <f t="shared" si="7"/>
        <v>12.249797772179397</v>
      </c>
      <c r="O22" s="24">
        <f t="shared" si="7"/>
        <v>12.725364606816818</v>
      </c>
      <c r="P22" s="24">
        <f t="shared" si="7"/>
        <v>13.169787613381033</v>
      </c>
      <c r="Q22" s="24">
        <f t="shared" si="7"/>
        <v>13.584507411405259</v>
      </c>
      <c r="R22" s="24">
        <f t="shared" si="7"/>
        <v>13.97090621269599</v>
      </c>
      <c r="S22" s="24">
        <f t="shared" si="7"/>
        <v>14.330310029239012</v>
      </c>
      <c r="T22" s="24">
        <f t="shared" si="7"/>
        <v>14.663990801198024</v>
      </c>
      <c r="U22" s="24">
        <f t="shared" si="7"/>
        <v>14.97316844781318</v>
      </c>
      <c r="V22" s="24">
        <f t="shared" si="7"/>
        <v>15.259012843910352</v>
      </c>
      <c r="W22" s="24">
        <f t="shared" si="7"/>
        <v>15.52264572463866</v>
      </c>
      <c r="X22" s="24">
        <f t="shared" si="7"/>
        <v>15.76514252096375</v>
      </c>
      <c r="Y22" s="24">
        <f t="shared" si="7"/>
        <v>15.987534128357161</v>
      </c>
      <c r="Z22" s="24">
        <f t="shared" si="7"/>
        <v>16.190808611038097</v>
      </c>
      <c r="AA22" s="24">
        <f t="shared" si="7"/>
        <v>16.37591284404266</v>
      </c>
      <c r="AB22" s="24">
        <f t="shared" si="7"/>
        <v>16.54375409531701</v>
      </c>
      <c r="AC22" s="24">
        <f t="shared" si="7"/>
        <v>16.69520154995526</v>
      </c>
      <c r="AD22" s="24">
        <f t="shared" si="7"/>
        <v>16.831087778629435</v>
      </c>
      <c r="AE22" s="24">
        <f t="shared" si="7"/>
        <v>16.952210152188197</v>
      </c>
      <c r="AF22" s="24">
        <f t="shared" si="7"/>
        <v>17.059332204332666</v>
      </c>
      <c r="AG22" s="24"/>
    </row>
    <row r="23" ht="11.25">
      <c r="A23" s="3" t="s">
        <v>160</v>
      </c>
    </row>
    <row r="24" ht="11.25">
      <c r="A24" s="3" t="s">
        <v>94</v>
      </c>
    </row>
    <row r="26" spans="1:32" ht="11.25">
      <c r="A26" t="s">
        <v>161</v>
      </c>
      <c r="G26" s="20">
        <f>3819728808/1000000</f>
        <v>3819.728808</v>
      </c>
      <c r="I26" s="70">
        <f>$G$26*(1+$G$28)^1*(1+$G$29)^(I7-2007)</f>
        <v>3877.0247401199995</v>
      </c>
      <c r="J26" s="25">
        <f aca="true" t="shared" si="8" ref="J26:AF26">$G$26*(1+$G$28)^2*(1+$G$29)^(J7-2007)</f>
        <v>3994.2078128901253</v>
      </c>
      <c r="K26" s="25">
        <f t="shared" si="8"/>
        <v>4054.120930083476</v>
      </c>
      <c r="L26" s="25">
        <f t="shared" si="8"/>
        <v>4114.932744034728</v>
      </c>
      <c r="M26" s="25">
        <f t="shared" si="8"/>
        <v>4176.656735195248</v>
      </c>
      <c r="N26" s="25">
        <f t="shared" si="8"/>
        <v>4239.306586223177</v>
      </c>
      <c r="O26" s="25">
        <f t="shared" si="8"/>
        <v>4302.896185016523</v>
      </c>
      <c r="P26" s="25">
        <f t="shared" si="8"/>
        <v>4367.43962779177</v>
      </c>
      <c r="Q26" s="25">
        <f t="shared" si="8"/>
        <v>4432.951222208647</v>
      </c>
      <c r="R26" s="25">
        <f t="shared" si="8"/>
        <v>4499.445490541776</v>
      </c>
      <c r="S26" s="25">
        <f t="shared" si="8"/>
        <v>4566.937172899902</v>
      </c>
      <c r="T26" s="25">
        <f t="shared" si="8"/>
        <v>4635.4412304934</v>
      </c>
      <c r="U26" s="25">
        <f t="shared" si="8"/>
        <v>4704.9728489508</v>
      </c>
      <c r="V26" s="25">
        <f t="shared" si="8"/>
        <v>4775.547441685062</v>
      </c>
      <c r="W26" s="25">
        <f t="shared" si="8"/>
        <v>4847.180653310336</v>
      </c>
      <c r="X26" s="25">
        <f t="shared" si="8"/>
        <v>4919.888363109991</v>
      </c>
      <c r="Y26" s="25">
        <f t="shared" si="8"/>
        <v>4993.68668855664</v>
      </c>
      <c r="Z26" s="25">
        <f t="shared" si="8"/>
        <v>5068.5919888849885</v>
      </c>
      <c r="AA26" s="25">
        <f t="shared" si="8"/>
        <v>5144.620868718263</v>
      </c>
      <c r="AB26" s="25">
        <f t="shared" si="8"/>
        <v>5221.7901817490365</v>
      </c>
      <c r="AC26" s="25">
        <f t="shared" si="8"/>
        <v>5300.117034475271</v>
      </c>
      <c r="AD26" s="25">
        <f t="shared" si="8"/>
        <v>5379.618789992399</v>
      </c>
      <c r="AE26" s="25">
        <f t="shared" si="8"/>
        <v>5460.313071842284</v>
      </c>
      <c r="AF26" s="25">
        <f t="shared" si="8"/>
        <v>5542.2177679199185</v>
      </c>
    </row>
    <row r="27" ht="11.25">
      <c r="A27" s="3" t="s">
        <v>162</v>
      </c>
    </row>
    <row r="28" spans="1:7" ht="11.25">
      <c r="A28" s="99" t="s">
        <v>106</v>
      </c>
      <c r="G28" s="100">
        <v>0.015</v>
      </c>
    </row>
    <row r="29" spans="1:7" ht="11.25">
      <c r="A29" s="99" t="s">
        <v>107</v>
      </c>
      <c r="G29" s="100">
        <f>G28</f>
        <v>0.015</v>
      </c>
    </row>
    <row r="30" spans="1:7" ht="11.25">
      <c r="A30" s="3" t="s">
        <v>163</v>
      </c>
      <c r="G30" s="5"/>
    </row>
    <row r="31" ht="11.25">
      <c r="A31" s="3"/>
    </row>
    <row r="32" spans="1:32" ht="11.25">
      <c r="A32" t="s">
        <v>223</v>
      </c>
      <c r="G32" s="138">
        <v>1.273</v>
      </c>
      <c r="J32" t="s">
        <v>222</v>
      </c>
      <c r="M32" s="7"/>
      <c r="N32" s="7"/>
      <c r="O32" s="7"/>
      <c r="P32" s="26">
        <v>1.805</v>
      </c>
      <c r="Q32" s="7"/>
      <c r="R32" s="7"/>
      <c r="S32" s="7"/>
      <c r="T32" s="7"/>
      <c r="U32" s="7"/>
      <c r="V32" s="7"/>
      <c r="W32" s="7"/>
      <c r="X32" s="7"/>
      <c r="Y32" s="7"/>
      <c r="Z32" s="7"/>
      <c r="AA32" s="7"/>
      <c r="AB32" s="7"/>
      <c r="AC32" s="7"/>
      <c r="AD32" s="7"/>
      <c r="AE32" s="7"/>
      <c r="AF32" s="7"/>
    </row>
    <row r="33" spans="1:32" ht="11.25">
      <c r="A33" s="3" t="s">
        <v>224</v>
      </c>
      <c r="G33" s="23"/>
      <c r="M33" s="7"/>
      <c r="N33" s="7"/>
      <c r="O33" s="7"/>
      <c r="P33" s="7"/>
      <c r="Q33" s="7"/>
      <c r="R33" s="7"/>
      <c r="S33" s="7"/>
      <c r="T33" s="7"/>
      <c r="U33" s="7"/>
      <c r="V33" s="7"/>
      <c r="W33" s="7"/>
      <c r="X33" s="7"/>
      <c r="Y33" s="7"/>
      <c r="Z33" s="7"/>
      <c r="AA33" s="7"/>
      <c r="AB33" s="7"/>
      <c r="AC33" s="7"/>
      <c r="AD33" s="7"/>
      <c r="AE33" s="7"/>
      <c r="AF33" s="7"/>
    </row>
    <row r="34" spans="1:7" ht="11.25">
      <c r="A34" t="s">
        <v>109</v>
      </c>
      <c r="G34" s="64">
        <v>0</v>
      </c>
    </row>
    <row r="35" spans="1:12" ht="11.25">
      <c r="A35" s="3"/>
      <c r="I35" s="118">
        <v>0.76</v>
      </c>
      <c r="K35" s="3" t="s">
        <v>110</v>
      </c>
      <c r="L35" s="3">
        <v>0.82</v>
      </c>
    </row>
    <row r="36" spans="1:32" ht="11.25">
      <c r="A36" t="s">
        <v>108</v>
      </c>
      <c r="G36" s="24">
        <f>G32</f>
        <v>1.273</v>
      </c>
      <c r="I36" s="72">
        <f aca="true" t="shared" si="9" ref="I36:AF36">$G$32*(1-$G$34)^(I7-2005)</f>
        <v>1.273</v>
      </c>
      <c r="J36" s="7">
        <f t="shared" si="9"/>
        <v>1.273</v>
      </c>
      <c r="K36" s="7">
        <f t="shared" si="9"/>
        <v>1.273</v>
      </c>
      <c r="L36" s="7">
        <f t="shared" si="9"/>
        <v>1.273</v>
      </c>
      <c r="M36" s="7">
        <f t="shared" si="9"/>
        <v>1.273</v>
      </c>
      <c r="N36" s="7">
        <f t="shared" si="9"/>
        <v>1.273</v>
      </c>
      <c r="O36" s="7">
        <f t="shared" si="9"/>
        <v>1.273</v>
      </c>
      <c r="P36" s="7">
        <f t="shared" si="9"/>
        <v>1.273</v>
      </c>
      <c r="Q36" s="7">
        <f t="shared" si="9"/>
        <v>1.273</v>
      </c>
      <c r="R36" s="7">
        <f t="shared" si="9"/>
        <v>1.273</v>
      </c>
      <c r="S36" s="7">
        <f t="shared" si="9"/>
        <v>1.273</v>
      </c>
      <c r="T36" s="7">
        <f t="shared" si="9"/>
        <v>1.273</v>
      </c>
      <c r="U36" s="7">
        <f t="shared" si="9"/>
        <v>1.273</v>
      </c>
      <c r="V36" s="7">
        <f t="shared" si="9"/>
        <v>1.273</v>
      </c>
      <c r="W36" s="7">
        <f t="shared" si="9"/>
        <v>1.273</v>
      </c>
      <c r="X36" s="7">
        <f t="shared" si="9"/>
        <v>1.273</v>
      </c>
      <c r="Y36" s="7">
        <f t="shared" si="9"/>
        <v>1.273</v>
      </c>
      <c r="Z36" s="7">
        <f t="shared" si="9"/>
        <v>1.273</v>
      </c>
      <c r="AA36" s="7">
        <f t="shared" si="9"/>
        <v>1.273</v>
      </c>
      <c r="AB36" s="7">
        <f t="shared" si="9"/>
        <v>1.273</v>
      </c>
      <c r="AC36" s="7">
        <f t="shared" si="9"/>
        <v>1.273</v>
      </c>
      <c r="AD36" s="7">
        <f t="shared" si="9"/>
        <v>1.273</v>
      </c>
      <c r="AE36" s="7">
        <f t="shared" si="9"/>
        <v>1.273</v>
      </c>
      <c r="AF36" s="7">
        <f t="shared" si="9"/>
        <v>1.273</v>
      </c>
    </row>
    <row r="37" ht="11.25">
      <c r="A37" s="3"/>
    </row>
    <row r="38" spans="1:32" ht="11.25">
      <c r="A38" t="s">
        <v>164</v>
      </c>
      <c r="G38" s="20">
        <f>4052967846/1000000</f>
        <v>4052.967846</v>
      </c>
      <c r="I38" s="70">
        <f aca="true" t="shared" si="10" ref="I38:AF38">I26*$G$40</f>
        <v>4113.76236369</v>
      </c>
      <c r="J38" s="25">
        <f t="shared" si="10"/>
        <v>4238.100831132529</v>
      </c>
      <c r="K38" s="25">
        <f t="shared" si="10"/>
        <v>4301.672343599515</v>
      </c>
      <c r="L38" s="25">
        <f t="shared" si="10"/>
        <v>4366.197428753508</v>
      </c>
      <c r="M38" s="25">
        <f t="shared" si="10"/>
        <v>4431.69039018481</v>
      </c>
      <c r="N38" s="25">
        <f t="shared" si="10"/>
        <v>4498.165746037583</v>
      </c>
      <c r="O38" s="25">
        <f t="shared" si="10"/>
        <v>4565.638232228144</v>
      </c>
      <c r="P38" s="25">
        <f t="shared" si="10"/>
        <v>4634.122805711566</v>
      </c>
      <c r="Q38" s="25">
        <f t="shared" si="10"/>
        <v>4703.634647797239</v>
      </c>
      <c r="R38" s="25">
        <f t="shared" si="10"/>
        <v>4774.189167514198</v>
      </c>
      <c r="S38" s="25">
        <f t="shared" si="10"/>
        <v>4845.80200502691</v>
      </c>
      <c r="T38" s="25">
        <f t="shared" si="10"/>
        <v>4918.489035102313</v>
      </c>
      <c r="U38" s="25">
        <f t="shared" si="10"/>
        <v>4992.266370628846</v>
      </c>
      <c r="V38" s="25">
        <f t="shared" si="10"/>
        <v>5067.150366188279</v>
      </c>
      <c r="W38" s="25">
        <f t="shared" si="10"/>
        <v>5143.157621681102</v>
      </c>
      <c r="X38" s="25">
        <f t="shared" si="10"/>
        <v>5220.304986006317</v>
      </c>
      <c r="Y38" s="25">
        <f t="shared" si="10"/>
        <v>5298.609560796411</v>
      </c>
      <c r="Z38" s="25">
        <f t="shared" si="10"/>
        <v>5378.088704208357</v>
      </c>
      <c r="AA38" s="25">
        <f t="shared" si="10"/>
        <v>5458.760034771482</v>
      </c>
      <c r="AB38" s="25">
        <f t="shared" si="10"/>
        <v>5540.641435293053</v>
      </c>
      <c r="AC38" s="25">
        <f t="shared" si="10"/>
        <v>5623.751056822448</v>
      </c>
      <c r="AD38" s="25">
        <f t="shared" si="10"/>
        <v>5708.107322674783</v>
      </c>
      <c r="AE38" s="25">
        <f t="shared" si="10"/>
        <v>5793.728932514905</v>
      </c>
      <c r="AF38" s="25">
        <f t="shared" si="10"/>
        <v>5880.634866502628</v>
      </c>
    </row>
    <row r="39" ht="11.25">
      <c r="A39" s="3" t="s">
        <v>165</v>
      </c>
    </row>
    <row r="40" spans="1:7" ht="11.25">
      <c r="A40" s="15" t="s">
        <v>37</v>
      </c>
      <c r="G40" s="26">
        <f>G38/G26</f>
        <v>1.0610616747219088</v>
      </c>
    </row>
    <row r="42" spans="1:32" ht="11.25">
      <c r="A42" t="s">
        <v>23</v>
      </c>
      <c r="G42" s="19">
        <f>G38*$G$32*1000000/($G$19*1000)</f>
        <v>2339.876674810884</v>
      </c>
      <c r="I42" s="71">
        <f>I38*I36*1000000/($G$19*1000)</f>
        <v>2374.9748249330473</v>
      </c>
      <c r="J42" s="71">
        <f>J38*J36*1000000/($G$19*1000)</f>
        <v>2446.758439016648</v>
      </c>
      <c r="K42" s="71">
        <f aca="true" t="shared" si="11" ref="K42:AF42">K38*K36*1000000/($G$19*1000)</f>
        <v>2483.459815601897</v>
      </c>
      <c r="L42" s="71">
        <f t="shared" si="11"/>
        <v>2520.711712835925</v>
      </c>
      <c r="M42" s="71">
        <f t="shared" si="11"/>
        <v>2558.522388528464</v>
      </c>
      <c r="N42" s="71">
        <f t="shared" si="11"/>
        <v>2596.900224356391</v>
      </c>
      <c r="O42" s="71">
        <f t="shared" si="11"/>
        <v>2635.853727721736</v>
      </c>
      <c r="P42" s="71">
        <f t="shared" si="11"/>
        <v>2675.3915336375617</v>
      </c>
      <c r="Q42" s="71">
        <f t="shared" si="11"/>
        <v>2715.5224066421247</v>
      </c>
      <c r="R42" s="71">
        <f t="shared" si="11"/>
        <v>2756.2552427417563</v>
      </c>
      <c r="S42" s="71">
        <f t="shared" si="11"/>
        <v>2797.5990713828824</v>
      </c>
      <c r="T42" s="71">
        <f t="shared" si="11"/>
        <v>2839.563057453626</v>
      </c>
      <c r="U42" s="71">
        <f t="shared" si="11"/>
        <v>2882.156503315429</v>
      </c>
      <c r="V42" s="71">
        <f t="shared" si="11"/>
        <v>2925.3888508651603</v>
      </c>
      <c r="W42" s="71">
        <f t="shared" si="11"/>
        <v>2969.269683628137</v>
      </c>
      <c r="X42" s="71">
        <f t="shared" si="11"/>
        <v>3013.8087288825586</v>
      </c>
      <c r="Y42" s="71">
        <f t="shared" si="11"/>
        <v>3059.015859815796</v>
      </c>
      <c r="Z42" s="71">
        <f t="shared" si="11"/>
        <v>3104.901097713033</v>
      </c>
      <c r="AA42" s="71">
        <f t="shared" si="11"/>
        <v>3151.4746141787286</v>
      </c>
      <c r="AB42" s="71">
        <f t="shared" si="11"/>
        <v>3198.7467333914087</v>
      </c>
      <c r="AC42" s="71">
        <f t="shared" si="11"/>
        <v>3246.727934392279</v>
      </c>
      <c r="AD42" s="71">
        <f t="shared" si="11"/>
        <v>3295.4288534081625</v>
      </c>
      <c r="AE42" s="71">
        <f t="shared" si="11"/>
        <v>3344.860286209285</v>
      </c>
      <c r="AF42" s="71">
        <f t="shared" si="11"/>
        <v>3395.033190502424</v>
      </c>
    </row>
    <row r="43" spans="1:7" ht="11.25">
      <c r="A43" s="3" t="s">
        <v>46</v>
      </c>
      <c r="G43" s="21"/>
    </row>
    <row r="44" spans="1:7" ht="11.25">
      <c r="A44" s="3"/>
      <c r="G44" s="21"/>
    </row>
    <row r="45" spans="1:32" ht="11.25">
      <c r="A45" s="99" t="s">
        <v>273</v>
      </c>
      <c r="G45" s="100">
        <v>0.03</v>
      </c>
      <c r="J45" s="23"/>
      <c r="K45" s="23"/>
      <c r="L45" s="23"/>
      <c r="M45" s="23"/>
      <c r="N45" s="23"/>
      <c r="O45" s="23"/>
      <c r="P45" s="23"/>
      <c r="Q45" s="23"/>
      <c r="R45" s="23"/>
      <c r="S45" s="23"/>
      <c r="T45" s="23"/>
      <c r="U45" s="23"/>
      <c r="V45" s="23"/>
      <c r="W45" s="23"/>
      <c r="X45" s="23"/>
      <c r="Y45" s="23"/>
      <c r="Z45" s="23"/>
      <c r="AA45" s="23"/>
      <c r="AB45" s="23"/>
      <c r="AC45" s="23"/>
      <c r="AD45" s="23"/>
      <c r="AE45" s="23"/>
      <c r="AF45" s="23"/>
    </row>
    <row r="46" spans="1:14" ht="12" customHeight="1">
      <c r="A46" s="160" t="s">
        <v>271</v>
      </c>
      <c r="B46" s="160"/>
      <c r="C46" s="160"/>
      <c r="D46" s="160"/>
      <c r="E46" s="160"/>
      <c r="F46" s="160"/>
      <c r="G46" s="160"/>
      <c r="H46" s="160"/>
      <c r="I46" s="160"/>
      <c r="J46" s="160"/>
      <c r="K46" s="160"/>
      <c r="L46" s="160"/>
      <c r="M46" s="3"/>
      <c r="N46" s="3"/>
    </row>
    <row r="47" spans="1:14" ht="11.25">
      <c r="A47" s="160"/>
      <c r="B47" s="160"/>
      <c r="C47" s="160"/>
      <c r="D47" s="160"/>
      <c r="E47" s="160"/>
      <c r="F47" s="160"/>
      <c r="G47" s="160"/>
      <c r="H47" s="160"/>
      <c r="I47" s="160"/>
      <c r="J47" s="160"/>
      <c r="K47" s="160"/>
      <c r="L47" s="160"/>
      <c r="M47" s="3"/>
      <c r="N47" s="3"/>
    </row>
    <row r="48" spans="1:14" ht="11.25">
      <c r="A48" s="3"/>
      <c r="B48" s="3"/>
      <c r="C48" s="3"/>
      <c r="D48" s="3"/>
      <c r="E48" s="3"/>
      <c r="F48" s="3"/>
      <c r="G48" s="3"/>
      <c r="H48" s="3"/>
      <c r="I48" s="3"/>
      <c r="J48" s="3"/>
      <c r="K48" s="3"/>
      <c r="L48" s="3"/>
      <c r="M48" s="3"/>
      <c r="N48" s="3"/>
    </row>
    <row r="49" spans="1:7" ht="11.25">
      <c r="A49" t="s">
        <v>101</v>
      </c>
      <c r="G49" s="17">
        <f>G45*Summary!H53/10</f>
        <v>0.03</v>
      </c>
    </row>
    <row r="50" spans="1:32" ht="11.25">
      <c r="A50" t="s">
        <v>111</v>
      </c>
      <c r="J50" s="7">
        <f aca="true" t="shared" si="12" ref="J50:AF50">J36*(1-$G$45)^(J17/$G$12)</f>
        <v>1.23481</v>
      </c>
      <c r="K50" s="7">
        <f t="shared" si="12"/>
        <v>1.1977657</v>
      </c>
      <c r="L50" s="7">
        <f t="shared" si="12"/>
        <v>1.161832729</v>
      </c>
      <c r="M50" s="7">
        <f t="shared" si="12"/>
        <v>1.1269777471299998</v>
      </c>
      <c r="N50" s="7">
        <f t="shared" si="12"/>
        <v>1.0931684147160998</v>
      </c>
      <c r="O50" s="7">
        <f t="shared" si="12"/>
        <v>1.0603733622746168</v>
      </c>
      <c r="P50" s="7">
        <f t="shared" si="12"/>
        <v>1.0285621614063782</v>
      </c>
      <c r="Q50" s="7">
        <f t="shared" si="12"/>
        <v>0.9977052965641869</v>
      </c>
      <c r="R50" s="7">
        <f t="shared" si="12"/>
        <v>0.9677741376672613</v>
      </c>
      <c r="S50" s="7">
        <f t="shared" si="12"/>
        <v>0.9387409135372435</v>
      </c>
      <c r="T50" s="7">
        <f t="shared" si="12"/>
        <v>0.9105786861311261</v>
      </c>
      <c r="U50" s="7">
        <f t="shared" si="12"/>
        <v>0.8832613255471923</v>
      </c>
      <c r="V50" s="7">
        <f t="shared" si="12"/>
        <v>0.8567634857807765</v>
      </c>
      <c r="W50" s="7">
        <f t="shared" si="12"/>
        <v>0.8310605812073533</v>
      </c>
      <c r="X50" s="7">
        <f t="shared" si="12"/>
        <v>0.8061287637711326</v>
      </c>
      <c r="Y50" s="7">
        <f t="shared" si="12"/>
        <v>0.7819449008579987</v>
      </c>
      <c r="Z50" s="7">
        <f t="shared" si="12"/>
        <v>0.7584865538322587</v>
      </c>
      <c r="AA50" s="7">
        <f t="shared" si="12"/>
        <v>0.735731957217291</v>
      </c>
      <c r="AB50" s="7">
        <f t="shared" si="12"/>
        <v>0.7136599985007722</v>
      </c>
      <c r="AC50" s="7">
        <f t="shared" si="12"/>
        <v>0.692250198545749</v>
      </c>
      <c r="AD50" s="7">
        <f t="shared" si="12"/>
        <v>0.6714826925893765</v>
      </c>
      <c r="AE50" s="7">
        <f t="shared" si="12"/>
        <v>0.6513382118116953</v>
      </c>
      <c r="AF50" s="7">
        <f t="shared" si="12"/>
        <v>0.6317980654573443</v>
      </c>
    </row>
    <row r="51" ht="11.25">
      <c r="A51" s="3" t="s">
        <v>95</v>
      </c>
    </row>
    <row r="52" ht="11.25">
      <c r="A52" s="3"/>
    </row>
    <row r="53" spans="1:32" ht="11.25">
      <c r="A53" t="s">
        <v>112</v>
      </c>
      <c r="J53" s="23">
        <f aca="true" t="shared" si="13" ref="J53:AF53">J50*J17*100/(2000)</f>
        <v>0.617405</v>
      </c>
      <c r="K53" s="23">
        <f t="shared" si="13"/>
        <v>1.1977657</v>
      </c>
      <c r="L53" s="23">
        <f t="shared" si="13"/>
        <v>1.7427490934999998</v>
      </c>
      <c r="M53" s="23">
        <f t="shared" si="13"/>
        <v>2.2539554942599995</v>
      </c>
      <c r="N53" s="23">
        <f t="shared" si="13"/>
        <v>2.7329210367902492</v>
      </c>
      <c r="O53" s="23">
        <f t="shared" si="13"/>
        <v>3.1811200868238503</v>
      </c>
      <c r="P53" s="23">
        <f t="shared" si="13"/>
        <v>3.5999675649223235</v>
      </c>
      <c r="Q53" s="23">
        <f t="shared" si="13"/>
        <v>3.9908211862567478</v>
      </c>
      <c r="R53" s="23">
        <f t="shared" si="13"/>
        <v>4.354983619502676</v>
      </c>
      <c r="S53" s="23">
        <f t="shared" si="13"/>
        <v>4.693704567686218</v>
      </c>
      <c r="T53" s="23">
        <f t="shared" si="13"/>
        <v>5.0081827737211935</v>
      </c>
      <c r="U53" s="23">
        <f t="shared" si="13"/>
        <v>5.299567953283153</v>
      </c>
      <c r="V53" s="23">
        <f t="shared" si="13"/>
        <v>5.568962657575047</v>
      </c>
      <c r="W53" s="23">
        <f t="shared" si="13"/>
        <v>5.817424068451473</v>
      </c>
      <c r="X53" s="23">
        <f t="shared" si="13"/>
        <v>6.045965728283495</v>
      </c>
      <c r="Y53" s="23">
        <f t="shared" si="13"/>
        <v>6.25555920686399</v>
      </c>
      <c r="Z53" s="23">
        <f t="shared" si="13"/>
        <v>6.447135707574199</v>
      </c>
      <c r="AA53" s="23">
        <f t="shared" si="13"/>
        <v>6.62158761495562</v>
      </c>
      <c r="AB53" s="23">
        <f t="shared" si="13"/>
        <v>6.779769985757336</v>
      </c>
      <c r="AC53" s="23">
        <f t="shared" si="13"/>
        <v>6.922501985457489</v>
      </c>
      <c r="AD53" s="23">
        <f t="shared" si="13"/>
        <v>7.050568272188454</v>
      </c>
      <c r="AE53" s="23">
        <f t="shared" si="13"/>
        <v>7.164720329928648</v>
      </c>
      <c r="AF53" s="23">
        <f t="shared" si="13"/>
        <v>7.265677752759459</v>
      </c>
    </row>
    <row r="54" spans="1:10" ht="11.25">
      <c r="A54" t="s">
        <v>166</v>
      </c>
      <c r="G54" s="17">
        <f>1-1/G40</f>
        <v>0.0575477148752096</v>
      </c>
      <c r="J54" s="3" t="s">
        <v>105</v>
      </c>
    </row>
    <row r="55" spans="1:32" ht="11.25">
      <c r="A55" t="s">
        <v>113</v>
      </c>
      <c r="G55" s="23"/>
      <c r="H55" t="s">
        <v>24</v>
      </c>
      <c r="I55" s="73"/>
      <c r="J55" s="7">
        <f aca="true" t="shared" si="14" ref="J55:AF55">J53/(1-$G$54)</f>
        <v>0.6551047832816801</v>
      </c>
      <c r="K55" s="7">
        <f t="shared" si="14"/>
        <v>1.2709032795664594</v>
      </c>
      <c r="L55" s="7">
        <f t="shared" si="14"/>
        <v>1.8491642717691983</v>
      </c>
      <c r="M55" s="7">
        <f t="shared" si="14"/>
        <v>2.3915857914881626</v>
      </c>
      <c r="N55" s="7">
        <f t="shared" si="14"/>
        <v>2.8997977721793973</v>
      </c>
      <c r="O55" s="7">
        <f t="shared" si="14"/>
        <v>3.3753646068168184</v>
      </c>
      <c r="P55" s="7">
        <f t="shared" si="14"/>
        <v>3.8197876133810325</v>
      </c>
      <c r="Q55" s="7">
        <f t="shared" si="14"/>
        <v>4.23450741140526</v>
      </c>
      <c r="R55" s="7">
        <f t="shared" si="14"/>
        <v>4.6209062126959894</v>
      </c>
      <c r="S55" s="7">
        <f t="shared" si="14"/>
        <v>4.9803100292390114</v>
      </c>
      <c r="T55" s="7">
        <f t="shared" si="14"/>
        <v>5.313990801198024</v>
      </c>
      <c r="U55" s="7">
        <f t="shared" si="14"/>
        <v>5.623168447813181</v>
      </c>
      <c r="V55" s="7">
        <f t="shared" si="14"/>
        <v>5.909012843910351</v>
      </c>
      <c r="W55" s="7">
        <f t="shared" si="14"/>
        <v>6.17264572463866</v>
      </c>
      <c r="X55" s="7">
        <f t="shared" si="14"/>
        <v>6.41514252096375</v>
      </c>
      <c r="Y55" s="7">
        <f t="shared" si="14"/>
        <v>6.637534128357161</v>
      </c>
      <c r="Z55" s="7">
        <f t="shared" si="14"/>
        <v>6.8408086110380975</v>
      </c>
      <c r="AA55" s="7">
        <f t="shared" si="14"/>
        <v>7.02591284404266</v>
      </c>
      <c r="AB55" s="7">
        <f t="shared" si="14"/>
        <v>7.1937540953170105</v>
      </c>
      <c r="AC55" s="7">
        <f t="shared" si="14"/>
        <v>7.345201549955262</v>
      </c>
      <c r="AD55" s="7">
        <f t="shared" si="14"/>
        <v>7.481087778629436</v>
      </c>
      <c r="AE55" s="7">
        <f t="shared" si="14"/>
        <v>7.602210152188198</v>
      </c>
      <c r="AF55" s="7">
        <f t="shared" si="14"/>
        <v>7.709332204332667</v>
      </c>
    </row>
    <row r="56" ht="11.25">
      <c r="A56" s="3"/>
    </row>
    <row r="57" spans="1:32" s="9" customFormat="1" ht="12">
      <c r="A57" s="9" t="s">
        <v>167</v>
      </c>
      <c r="G57" s="27"/>
      <c r="I57" s="74"/>
      <c r="J57" s="28">
        <f aca="true" t="shared" si="15" ref="J57:AF57">J121*J26</f>
        <v>18.889084774861306</v>
      </c>
      <c r="K57" s="28">
        <f t="shared" si="15"/>
        <v>55.00947619378022</v>
      </c>
      <c r="L57" s="28">
        <f t="shared" si="15"/>
        <v>106.78824632135239</v>
      </c>
      <c r="M57" s="28">
        <f t="shared" si="15"/>
        <v>172.73709930045044</v>
      </c>
      <c r="N57" s="28">
        <f t="shared" si="15"/>
        <v>251.453203428147</v>
      </c>
      <c r="O57" s="28">
        <f t="shared" si="15"/>
        <v>341.6200157517415</v>
      </c>
      <c r="P57" s="28">
        <f t="shared" si="15"/>
        <v>442.0075935099459</v>
      </c>
      <c r="Q57" s="28">
        <f t="shared" si="15"/>
        <v>551.4721881014192</v>
      </c>
      <c r="R57" s="28">
        <f t="shared" si="15"/>
        <v>668.9550815986119</v>
      </c>
      <c r="S57" s="28">
        <f t="shared" si="15"/>
        <v>793.4807130758352</v>
      </c>
      <c r="T57" s="28">
        <f t="shared" si="15"/>
        <v>906.5196706157924</v>
      </c>
      <c r="U57" s="28">
        <f t="shared" si="15"/>
        <v>1010.0222857385527</v>
      </c>
      <c r="V57" s="28">
        <f t="shared" si="15"/>
        <v>1105.5072809345218</v>
      </c>
      <c r="W57" s="28">
        <f t="shared" si="15"/>
        <v>1189.7939542031697</v>
      </c>
      <c r="X57" s="28">
        <f t="shared" si="15"/>
        <v>1264.2847572602564</v>
      </c>
      <c r="Y57" s="28">
        <f t="shared" si="15"/>
        <v>1330.1106910439685</v>
      </c>
      <c r="Z57" s="28">
        <f t="shared" si="15"/>
        <v>1388.1929336750297</v>
      </c>
      <c r="AA57" s="28">
        <f t="shared" si="15"/>
        <v>1439.2884622809306</v>
      </c>
      <c r="AB57" s="28">
        <f t="shared" si="15"/>
        <v>1484.0243755450015</v>
      </c>
      <c r="AC57" s="28">
        <f t="shared" si="15"/>
        <v>1522.924094326915</v>
      </c>
      <c r="AD57" s="28">
        <f t="shared" si="15"/>
        <v>1556.427629417198</v>
      </c>
      <c r="AE57" s="28">
        <f t="shared" si="15"/>
        <v>1584.907452279444</v>
      </c>
      <c r="AF57" s="28">
        <f t="shared" si="15"/>
        <v>1608.6810640636356</v>
      </c>
    </row>
    <row r="58" spans="1:32" s="9" customFormat="1" ht="12">
      <c r="A58" s="9" t="s">
        <v>169</v>
      </c>
      <c r="I58" s="75">
        <f>I26</f>
        <v>3877.0247401199995</v>
      </c>
      <c r="J58" s="28">
        <f aca="true" t="shared" si="16" ref="J58:AF58">J26-J57</f>
        <v>3975.318728115264</v>
      </c>
      <c r="K58" s="28">
        <f t="shared" si="16"/>
        <v>3999.111453889696</v>
      </c>
      <c r="L58" s="28">
        <f t="shared" si="16"/>
        <v>4008.1444977133756</v>
      </c>
      <c r="M58" s="28">
        <f t="shared" si="16"/>
        <v>4003.9196358947975</v>
      </c>
      <c r="N58" s="28">
        <f t="shared" si="16"/>
        <v>3987.85338279503</v>
      </c>
      <c r="O58" s="28">
        <f t="shared" si="16"/>
        <v>3961.276169264782</v>
      </c>
      <c r="P58" s="28">
        <f t="shared" si="16"/>
        <v>3925.4320342818246</v>
      </c>
      <c r="Q58" s="28">
        <f t="shared" si="16"/>
        <v>3881.4790341072276</v>
      </c>
      <c r="R58" s="28">
        <f t="shared" si="16"/>
        <v>3830.4904089431643</v>
      </c>
      <c r="S58" s="28">
        <f t="shared" si="16"/>
        <v>3773.4564598240668</v>
      </c>
      <c r="T58" s="28">
        <f t="shared" si="16"/>
        <v>3728.921559877608</v>
      </c>
      <c r="U58" s="28">
        <f t="shared" si="16"/>
        <v>3694.9505632122473</v>
      </c>
      <c r="V58" s="28">
        <f t="shared" si="16"/>
        <v>3670.04016075054</v>
      </c>
      <c r="W58" s="28">
        <f t="shared" si="16"/>
        <v>3657.3866991071664</v>
      </c>
      <c r="X58" s="28">
        <f t="shared" si="16"/>
        <v>3655.6036058497343</v>
      </c>
      <c r="Y58" s="28">
        <f t="shared" si="16"/>
        <v>3663.575997512671</v>
      </c>
      <c r="Z58" s="28">
        <f t="shared" si="16"/>
        <v>3680.3990552099585</v>
      </c>
      <c r="AA58" s="28">
        <f t="shared" si="16"/>
        <v>3705.332406437333</v>
      </c>
      <c r="AB58" s="28">
        <f t="shared" si="16"/>
        <v>3737.765806204035</v>
      </c>
      <c r="AC58" s="28">
        <f t="shared" si="16"/>
        <v>3777.192940148356</v>
      </c>
      <c r="AD58" s="28">
        <f t="shared" si="16"/>
        <v>3823.191160575201</v>
      </c>
      <c r="AE58" s="28">
        <f t="shared" si="16"/>
        <v>3875.4056195628405</v>
      </c>
      <c r="AF58" s="28">
        <f t="shared" si="16"/>
        <v>3933.5367038562827</v>
      </c>
    </row>
    <row r="59" spans="1:32" s="9" customFormat="1" ht="12">
      <c r="A59" s="9" t="s">
        <v>168</v>
      </c>
      <c r="I59" s="75">
        <f aca="true" t="shared" si="17" ref="I59:AF59">I58*$G$40</f>
        <v>4113.76236369</v>
      </c>
      <c r="J59" s="28">
        <f t="shared" si="17"/>
        <v>4218.05834720735</v>
      </c>
      <c r="K59" s="28">
        <f t="shared" si="17"/>
        <v>4243.303896663769</v>
      </c>
      <c r="L59" s="28">
        <f t="shared" si="17"/>
        <v>4252.888513271158</v>
      </c>
      <c r="M59" s="28">
        <f t="shared" si="17"/>
        <v>4248.405674314469</v>
      </c>
      <c r="N59" s="28">
        <f t="shared" si="17"/>
        <v>4231.358388893924</v>
      </c>
      <c r="O59" s="28">
        <f t="shared" si="17"/>
        <v>4203.158326196077</v>
      </c>
      <c r="P59" s="28">
        <f t="shared" si="17"/>
        <v>4165.125488302102</v>
      </c>
      <c r="Q59" s="28">
        <f t="shared" si="17"/>
        <v>4118.488644327792</v>
      </c>
      <c r="R59" s="28">
        <f t="shared" si="17"/>
        <v>4064.386568319443</v>
      </c>
      <c r="S59" s="28">
        <f t="shared" si="17"/>
        <v>4003.8700307511294</v>
      </c>
      <c r="T59" s="28">
        <f t="shared" si="17"/>
        <v>3956.6157552303675</v>
      </c>
      <c r="U59" s="28">
        <f t="shared" si="17"/>
        <v>3920.5704326166474</v>
      </c>
      <c r="V59" s="28">
        <f t="shared" si="17"/>
        <v>3894.1389592626315</v>
      </c>
      <c r="W59" s="28">
        <f t="shared" si="17"/>
        <v>3880.712856060284</v>
      </c>
      <c r="X59" s="28">
        <f t="shared" si="17"/>
        <v>3878.820884142368</v>
      </c>
      <c r="Y59" s="28">
        <f t="shared" si="17"/>
        <v>3887.2800833917827</v>
      </c>
      <c r="Z59" s="28">
        <f t="shared" si="17"/>
        <v>3905.1303851660095</v>
      </c>
      <c r="AA59" s="28">
        <f t="shared" si="17"/>
        <v>3931.5862085757567</v>
      </c>
      <c r="AB59" s="28">
        <f t="shared" si="17"/>
        <v>3966.000046049139</v>
      </c>
      <c r="AC59" s="28">
        <f t="shared" si="17"/>
        <v>4007.834666821585</v>
      </c>
      <c r="AD59" s="28">
        <f t="shared" si="17"/>
        <v>4056.641615621921</v>
      </c>
      <c r="AE59" s="28">
        <f t="shared" si="17"/>
        <v>4112.044376920044</v>
      </c>
      <c r="AF59" s="28">
        <f t="shared" si="17"/>
        <v>4173.725042573845</v>
      </c>
    </row>
    <row r="60" spans="1:32" s="9" customFormat="1" ht="12">
      <c r="A60" s="9" t="s">
        <v>41</v>
      </c>
      <c r="G60" s="27"/>
      <c r="I60" s="76">
        <f>I59*I36*1000000/($G$19*1000)</f>
        <v>2374.9748249330473</v>
      </c>
      <c r="J60" s="29">
        <f>J59*J50*1000000/($G$19*1000)</f>
        <v>2362.13180395243</v>
      </c>
      <c r="K60" s="29">
        <f aca="true" t="shared" si="18" ref="K60:AF60">K59*K50*1000000/($G$19*1000)</f>
        <v>2304.9813433561026</v>
      </c>
      <c r="L60" s="29">
        <f t="shared" si="18"/>
        <v>2240.8821167830306</v>
      </c>
      <c r="M60" s="29">
        <f t="shared" si="18"/>
        <v>2171.3644697202853</v>
      </c>
      <c r="N60" s="29">
        <f t="shared" si="18"/>
        <v>2097.772037225778</v>
      </c>
      <c r="O60" s="29">
        <f t="shared" si="18"/>
        <v>2021.277608399585</v>
      </c>
      <c r="P60" s="29">
        <f t="shared" si="18"/>
        <v>1942.898174501953</v>
      </c>
      <c r="Q60" s="29">
        <f t="shared" si="18"/>
        <v>1863.509267249567</v>
      </c>
      <c r="R60" s="29">
        <f t="shared" si="18"/>
        <v>1783.8585969622443</v>
      </c>
      <c r="S60" s="29">
        <f t="shared" si="18"/>
        <v>1704.5789616107513</v>
      </c>
      <c r="T60" s="29">
        <f t="shared" si="18"/>
        <v>1633.927426722622</v>
      </c>
      <c r="U60" s="29">
        <f t="shared" si="18"/>
        <v>1570.4708558794148</v>
      </c>
      <c r="V60" s="29">
        <f t="shared" si="18"/>
        <v>1513.0866525408514</v>
      </c>
      <c r="W60" s="29">
        <f t="shared" si="18"/>
        <v>1462.6337785289377</v>
      </c>
      <c r="X60" s="29">
        <f t="shared" si="18"/>
        <v>1418.0630767452783</v>
      </c>
      <c r="Y60" s="29">
        <f t="shared" si="18"/>
        <v>1378.5210156077371</v>
      </c>
      <c r="Z60" s="29">
        <f t="shared" si="18"/>
        <v>1343.3056181905706</v>
      </c>
      <c r="AA60" s="29">
        <f t="shared" si="18"/>
        <v>1311.8338395482767</v>
      </c>
      <c r="AB60" s="29">
        <f t="shared" si="18"/>
        <v>1283.6170462210844</v>
      </c>
      <c r="AC60" s="29">
        <f t="shared" si="18"/>
        <v>1258.2423328098766</v>
      </c>
      <c r="AD60" s="29">
        <f t="shared" si="18"/>
        <v>1235.3581110784248</v>
      </c>
      <c r="AE60" s="29">
        <f t="shared" si="18"/>
        <v>1214.6628713621033</v>
      </c>
      <c r="AF60" s="29">
        <f t="shared" si="18"/>
        <v>1195.896329999559</v>
      </c>
    </row>
    <row r="61" spans="1:32" s="9" customFormat="1" ht="12">
      <c r="A61" s="9" t="s">
        <v>45</v>
      </c>
      <c r="G61" s="27"/>
      <c r="I61" s="76">
        <f aca="true" t="shared" si="19" ref="I61:AF61">I42-I60</f>
        <v>0</v>
      </c>
      <c r="J61" s="29">
        <f t="shared" si="19"/>
        <v>84.62663506421814</v>
      </c>
      <c r="K61" s="29">
        <f t="shared" si="19"/>
        <v>178.47847224579436</v>
      </c>
      <c r="L61" s="29">
        <f t="shared" si="19"/>
        <v>279.82959605289443</v>
      </c>
      <c r="M61" s="29">
        <f t="shared" si="19"/>
        <v>387.1579188081787</v>
      </c>
      <c r="N61" s="29">
        <f t="shared" si="19"/>
        <v>499.1281871306128</v>
      </c>
      <c r="O61" s="29">
        <f t="shared" si="19"/>
        <v>614.576119322151</v>
      </c>
      <c r="P61" s="29">
        <f t="shared" si="19"/>
        <v>732.4933591356087</v>
      </c>
      <c r="Q61" s="29">
        <f t="shared" si="19"/>
        <v>852.0131393925576</v>
      </c>
      <c r="R61" s="29">
        <f t="shared" si="19"/>
        <v>972.396645779512</v>
      </c>
      <c r="S61" s="29">
        <f t="shared" si="19"/>
        <v>1093.020109772131</v>
      </c>
      <c r="T61" s="29">
        <f t="shared" si="19"/>
        <v>1205.6356307310039</v>
      </c>
      <c r="U61" s="29">
        <f t="shared" si="19"/>
        <v>1311.685647436014</v>
      </c>
      <c r="V61" s="29">
        <f t="shared" si="19"/>
        <v>1412.3021983243088</v>
      </c>
      <c r="W61" s="29">
        <f t="shared" si="19"/>
        <v>1506.6359050991994</v>
      </c>
      <c r="X61" s="29">
        <f t="shared" si="19"/>
        <v>1595.7456521372803</v>
      </c>
      <c r="Y61" s="29">
        <f t="shared" si="19"/>
        <v>1680.4948442080588</v>
      </c>
      <c r="Z61" s="29">
        <f t="shared" si="19"/>
        <v>1761.5954795224623</v>
      </c>
      <c r="AA61" s="29">
        <f t="shared" si="19"/>
        <v>1839.640774630452</v>
      </c>
      <c r="AB61" s="29">
        <f t="shared" si="19"/>
        <v>1915.1296871703244</v>
      </c>
      <c r="AC61" s="29">
        <f t="shared" si="19"/>
        <v>1988.4856015824025</v>
      </c>
      <c r="AD61" s="29">
        <f t="shared" si="19"/>
        <v>2060.0707423297376</v>
      </c>
      <c r="AE61" s="29">
        <f t="shared" si="19"/>
        <v>2130.197414847182</v>
      </c>
      <c r="AF61" s="29">
        <f t="shared" si="19"/>
        <v>2199.136860502865</v>
      </c>
    </row>
    <row r="62" spans="1:33" s="9" customFormat="1" ht="12">
      <c r="A62" s="9" t="s">
        <v>216</v>
      </c>
      <c r="G62" s="27"/>
      <c r="I62" s="76"/>
      <c r="J62" s="29">
        <f aca="true" t="shared" si="20" ref="J62:AF62">$J$42-J60</f>
        <v>84.62663506421814</v>
      </c>
      <c r="K62" s="29">
        <f t="shared" si="20"/>
        <v>141.77709566054546</v>
      </c>
      <c r="L62" s="29">
        <f t="shared" si="20"/>
        <v>205.87632223361743</v>
      </c>
      <c r="M62" s="29">
        <f t="shared" si="20"/>
        <v>275.3939692963627</v>
      </c>
      <c r="N62" s="29">
        <f t="shared" si="20"/>
        <v>348.9864017908699</v>
      </c>
      <c r="O62" s="29">
        <f t="shared" si="20"/>
        <v>425.480830617063</v>
      </c>
      <c r="P62" s="29">
        <f t="shared" si="20"/>
        <v>503.860264514695</v>
      </c>
      <c r="Q62" s="29">
        <f t="shared" si="20"/>
        <v>583.249171767081</v>
      </c>
      <c r="R62" s="29">
        <f t="shared" si="20"/>
        <v>662.8998420544037</v>
      </c>
      <c r="S62" s="29">
        <f t="shared" si="20"/>
        <v>742.1794774058967</v>
      </c>
      <c r="T62" s="29">
        <f t="shared" si="20"/>
        <v>812.8310122940261</v>
      </c>
      <c r="U62" s="29">
        <f t="shared" si="20"/>
        <v>876.2875831372332</v>
      </c>
      <c r="V62" s="29">
        <f t="shared" si="20"/>
        <v>933.6717864757966</v>
      </c>
      <c r="W62" s="29">
        <f t="shared" si="20"/>
        <v>984.1246604877103</v>
      </c>
      <c r="X62" s="29">
        <f t="shared" si="20"/>
        <v>1028.6953622713697</v>
      </c>
      <c r="Y62" s="29">
        <f t="shared" si="20"/>
        <v>1068.237423408911</v>
      </c>
      <c r="Z62" s="29">
        <f t="shared" si="20"/>
        <v>1103.4528208260774</v>
      </c>
      <c r="AA62" s="29">
        <f t="shared" si="20"/>
        <v>1134.9245994683713</v>
      </c>
      <c r="AB62" s="29">
        <f t="shared" si="20"/>
        <v>1163.1413927955637</v>
      </c>
      <c r="AC62" s="29">
        <f t="shared" si="20"/>
        <v>1188.5161062067714</v>
      </c>
      <c r="AD62" s="29">
        <f t="shared" si="20"/>
        <v>1211.4003279382232</v>
      </c>
      <c r="AE62" s="29">
        <f t="shared" si="20"/>
        <v>1232.0955676545448</v>
      </c>
      <c r="AF62" s="29">
        <f t="shared" si="20"/>
        <v>1250.862109017089</v>
      </c>
      <c r="AG62" s="29"/>
    </row>
    <row r="63" spans="1:33" s="9" customFormat="1" ht="12">
      <c r="A63" s="9" t="s">
        <v>44</v>
      </c>
      <c r="G63" s="27"/>
      <c r="I63" s="76"/>
      <c r="J63" s="130">
        <f aca="true" t="shared" si="21" ref="J63:AF63">J60*J17</f>
        <v>23621.3180395243</v>
      </c>
      <c r="K63" s="130">
        <f t="shared" si="21"/>
        <v>46099.62686712205</v>
      </c>
      <c r="L63" s="130">
        <f t="shared" si="21"/>
        <v>67226.46350349092</v>
      </c>
      <c r="M63" s="130">
        <f t="shared" si="21"/>
        <v>86854.57878881141</v>
      </c>
      <c r="N63" s="130">
        <f t="shared" si="21"/>
        <v>104888.6018612889</v>
      </c>
      <c r="O63" s="130">
        <f t="shared" si="21"/>
        <v>121276.6565039751</v>
      </c>
      <c r="P63" s="130">
        <f t="shared" si="21"/>
        <v>136002.8722151367</v>
      </c>
      <c r="Q63" s="130">
        <f t="shared" si="21"/>
        <v>149080.74137996536</v>
      </c>
      <c r="R63" s="130">
        <f t="shared" si="21"/>
        <v>160547.273726602</v>
      </c>
      <c r="S63" s="130">
        <f t="shared" si="21"/>
        <v>170457.89616107513</v>
      </c>
      <c r="T63" s="130">
        <f t="shared" si="21"/>
        <v>179732.0169394884</v>
      </c>
      <c r="U63" s="130">
        <f t="shared" si="21"/>
        <v>188456.50270552977</v>
      </c>
      <c r="V63" s="130">
        <f t="shared" si="21"/>
        <v>196701.26483031068</v>
      </c>
      <c r="W63" s="130">
        <f t="shared" si="21"/>
        <v>204768.7289940513</v>
      </c>
      <c r="X63" s="130">
        <f t="shared" si="21"/>
        <v>212709.46151179174</v>
      </c>
      <c r="Y63" s="130">
        <f t="shared" si="21"/>
        <v>220563.36249723795</v>
      </c>
      <c r="Z63" s="130">
        <f t="shared" si="21"/>
        <v>228361.955092397</v>
      </c>
      <c r="AA63" s="130">
        <f t="shared" si="21"/>
        <v>236130.0911186898</v>
      </c>
      <c r="AB63" s="130">
        <f t="shared" si="21"/>
        <v>243887.23878200602</v>
      </c>
      <c r="AC63" s="130">
        <f t="shared" si="21"/>
        <v>251648.46656197534</v>
      </c>
      <c r="AD63" s="130">
        <f t="shared" si="21"/>
        <v>259425.2033264692</v>
      </c>
      <c r="AE63" s="130">
        <f t="shared" si="21"/>
        <v>267225.8316996627</v>
      </c>
      <c r="AF63" s="130">
        <f t="shared" si="21"/>
        <v>275056.15589989856</v>
      </c>
      <c r="AG63" s="28"/>
    </row>
    <row r="65" spans="1:32" ht="11.25">
      <c r="A65" t="s">
        <v>39</v>
      </c>
      <c r="G65" s="6"/>
      <c r="J65" s="16">
        <f aca="true" t="shared" si="22" ref="J65:AF65">J22/I22-1</f>
        <v>0.07006468270392308</v>
      </c>
      <c r="K65" s="16">
        <f t="shared" si="22"/>
        <v>0.06154843048858072</v>
      </c>
      <c r="L65" s="16">
        <f t="shared" si="22"/>
        <v>0.054445556746124835</v>
      </c>
      <c r="M65" s="16">
        <f t="shared" si="22"/>
        <v>0.048434106916914965</v>
      </c>
      <c r="N65" s="16">
        <f t="shared" si="22"/>
        <v>0.043283078599114955</v>
      </c>
      <c r="O65" s="16">
        <f t="shared" si="22"/>
        <v>0.03882242331522279</v>
      </c>
      <c r="P65" s="16">
        <f t="shared" si="22"/>
        <v>0.03492418648076634</v>
      </c>
      <c r="Q65" s="16">
        <f t="shared" si="22"/>
        <v>0.03149024192332872</v>
      </c>
      <c r="R65" s="16">
        <f t="shared" si="22"/>
        <v>0.028444078948811846</v>
      </c>
      <c r="S65" s="16">
        <f t="shared" si="22"/>
        <v>0.025725161351123793</v>
      </c>
      <c r="T65" s="16">
        <f t="shared" si="22"/>
        <v>0.023284965313254302</v>
      </c>
      <c r="U65" s="16">
        <f t="shared" si="22"/>
        <v>0.021084140791325146</v>
      </c>
      <c r="V65" s="16">
        <f t="shared" si="22"/>
        <v>0.019090441484942877</v>
      </c>
      <c r="W65" s="16">
        <f t="shared" si="22"/>
        <v>0.017277191088643784</v>
      </c>
      <c r="X65" s="16">
        <f t="shared" si="22"/>
        <v>0.015622130442633164</v>
      </c>
      <c r="Y65" s="16">
        <f t="shared" si="22"/>
        <v>0.014106539607725566</v>
      </c>
      <c r="Z65" s="16">
        <f t="shared" si="22"/>
        <v>0.012714561298129645</v>
      </c>
      <c r="AA65" s="16">
        <f t="shared" si="22"/>
        <v>0.01143267377506807</v>
      </c>
      <c r="AB65" s="16">
        <f t="shared" si="22"/>
        <v>0.010249276047863631</v>
      </c>
      <c r="AC65" s="16">
        <f t="shared" si="22"/>
        <v>0.009154358422259312</v>
      </c>
      <c r="AD65" s="16">
        <f t="shared" si="22"/>
        <v>0.008139238587062003</v>
      </c>
      <c r="AE65" s="16">
        <f t="shared" si="22"/>
        <v>0.007196348516021134</v>
      </c>
      <c r="AF65" s="16">
        <f t="shared" si="22"/>
        <v>0.006319061124347991</v>
      </c>
    </row>
    <row r="67" spans="1:7" ht="11.25">
      <c r="A67" s="99" t="s">
        <v>33</v>
      </c>
      <c r="G67" s="99">
        <v>0.7</v>
      </c>
    </row>
    <row r="68" spans="1:22" ht="11.25">
      <c r="A68" s="160" t="s">
        <v>9</v>
      </c>
      <c r="B68" s="155"/>
      <c r="C68" s="155"/>
      <c r="D68" s="155"/>
      <c r="E68" s="155"/>
      <c r="F68" s="155"/>
      <c r="G68" s="155"/>
      <c r="H68" s="155"/>
      <c r="I68" s="155"/>
      <c r="J68" s="155"/>
      <c r="K68" s="155"/>
      <c r="L68" s="165" t="s">
        <v>10</v>
      </c>
      <c r="M68" s="155"/>
      <c r="N68" s="155"/>
      <c r="O68" s="155"/>
      <c r="P68" s="155"/>
      <c r="Q68" s="155"/>
      <c r="R68" s="155"/>
      <c r="S68" s="155"/>
      <c r="T68" s="155"/>
      <c r="U68" s="155"/>
      <c r="V68" s="155"/>
    </row>
    <row r="69" spans="1:22" ht="11.25">
      <c r="A69" s="155"/>
      <c r="B69" s="155"/>
      <c r="C69" s="155"/>
      <c r="D69" s="155"/>
      <c r="E69" s="155"/>
      <c r="F69" s="155"/>
      <c r="G69" s="155"/>
      <c r="H69" s="155"/>
      <c r="I69" s="155"/>
      <c r="J69" s="155"/>
      <c r="K69" s="155"/>
      <c r="L69" s="155"/>
      <c r="M69" s="155"/>
      <c r="N69" s="155"/>
      <c r="O69" s="155"/>
      <c r="P69" s="155"/>
      <c r="Q69" s="155"/>
      <c r="R69" s="155"/>
      <c r="S69" s="155"/>
      <c r="T69" s="155"/>
      <c r="U69" s="155"/>
      <c r="V69" s="155"/>
    </row>
    <row r="70" spans="1:22" ht="11.25">
      <c r="A70" s="99" t="s">
        <v>47</v>
      </c>
      <c r="G70" s="98">
        <v>10</v>
      </c>
      <c r="H70" s="3" t="s">
        <v>11</v>
      </c>
      <c r="L70" s="155"/>
      <c r="M70" s="155"/>
      <c r="N70" s="155"/>
      <c r="O70" s="155"/>
      <c r="P70" s="155"/>
      <c r="Q70" s="155"/>
      <c r="R70" s="155"/>
      <c r="S70" s="155"/>
      <c r="T70" s="155"/>
      <c r="U70" s="155"/>
      <c r="V70" s="155"/>
    </row>
    <row r="71" spans="1:22" s="111" customFormat="1" ht="11.25">
      <c r="A71" s="111" t="s">
        <v>36</v>
      </c>
      <c r="G71" s="111">
        <f>J7</f>
        <v>2008</v>
      </c>
      <c r="I71" s="115"/>
      <c r="L71" s="155"/>
      <c r="M71" s="155"/>
      <c r="N71" s="155"/>
      <c r="O71" s="155"/>
      <c r="P71" s="155"/>
      <c r="Q71" s="155"/>
      <c r="R71" s="155"/>
      <c r="S71" s="155"/>
      <c r="T71" s="155"/>
      <c r="U71" s="155"/>
      <c r="V71" s="155"/>
    </row>
    <row r="73" spans="1:32" s="6" customFormat="1" ht="11.25">
      <c r="A73" s="30" t="s">
        <v>99</v>
      </c>
      <c r="G73">
        <f>G71</f>
        <v>2008</v>
      </c>
      <c r="I73" s="78"/>
      <c r="J73" s="6">
        <f>IF(J7&gt;=Summary!$H$61+$G$70,$G$67,((J7-$G$71+1)/$G$70)*$G$67)</f>
        <v>0.06999999999999999</v>
      </c>
      <c r="K73" s="6">
        <f>IF(K7&gt;=Summary!$H$61+$G$70,$G$67,((K7-$G$71+1)/$G$70)*$G$67)</f>
        <v>0.13999999999999999</v>
      </c>
      <c r="L73" s="6">
        <f>IF(L7&gt;=Summary!$H$61+$G$70,$G$67,((L7-$G$71+1)/$G$70)*$G$67)</f>
        <v>0.21</v>
      </c>
      <c r="M73" s="6">
        <f>IF(M7&gt;=Summary!$H$61+$G$70,$G$67,((M7-$G$71+1)/$G$70)*$G$67)</f>
        <v>0.27999999999999997</v>
      </c>
      <c r="N73" s="6">
        <f>IF(N7&gt;=Summary!$H$61+$G$70,$G$67,((N7-$G$71+1)/$G$70)*$G$67)</f>
        <v>0.35</v>
      </c>
      <c r="O73" s="6">
        <f>IF(O7&gt;=Summary!$H$61+$G$70,$G$67,((O7-$G$71+1)/$G$70)*$G$67)</f>
        <v>0.42</v>
      </c>
      <c r="P73" s="6">
        <f>IF(P7&gt;=Summary!$H$61+$G$70,$G$67,((P7-$G$71+1)/$G$70)*$G$67)</f>
        <v>0.48999999999999994</v>
      </c>
      <c r="Q73" s="6">
        <f>IF(Q7&gt;=Summary!$H$61+$G$70,$G$67,((Q7-$G$71+1)/$G$70)*$G$67)</f>
        <v>0.5599999999999999</v>
      </c>
      <c r="R73" s="6">
        <f>IF(R7&gt;=Summary!$H$61+$G$70,$G$67,((R7-$G$71+1)/$G$70)*$G$67)</f>
        <v>0.63</v>
      </c>
      <c r="S73" s="6">
        <f>IF(S7&gt;=Summary!$H$61+$G$70,$G$67,((S7-$G$71+1)/$G$70)*$G$67)</f>
        <v>0.7</v>
      </c>
      <c r="T73" s="6">
        <f>IF(T7&gt;=Summary!$H$61+$G$70,$G$67,((T7-$G$71+1)/$G$70)*$G$67)</f>
        <v>0.7</v>
      </c>
      <c r="U73" s="6">
        <f>IF(U7&gt;=Summary!$H$61+$G$70,$G$67,((U7-$G$71+1)/$G$70)*$G$67)</f>
        <v>0.7</v>
      </c>
      <c r="V73" s="6">
        <f>IF(V7&gt;=Summary!$H$61+$G$70,$G$67,((V7-$G$71+1)/$G$70)*$G$67)</f>
        <v>0.7</v>
      </c>
      <c r="W73" s="6">
        <f>IF(W7&gt;=Summary!$H$61+$G$70,$G$67,((W7-$G$71+1)/$G$70)*$G$67)</f>
        <v>0.7</v>
      </c>
      <c r="X73" s="6">
        <f>IF(X7&gt;=Summary!$H$61+$G$70,$G$67,((X7-$G$71+1)/$G$70)*$G$67)</f>
        <v>0.7</v>
      </c>
      <c r="Y73" s="6">
        <f>IF(Y7&gt;=Summary!$H$61+$G$70,$G$67,((Y7-$G$71+1)/$G$70)*$G$67)</f>
        <v>0.7</v>
      </c>
      <c r="Z73" s="6">
        <f>IF(Z7&gt;=Summary!$H$61+$G$70,$G$67,((Z7-$G$71+1)/$G$70)*$G$67)</f>
        <v>0.7</v>
      </c>
      <c r="AA73" s="6">
        <f>IF(AA7&gt;=Summary!$H$61+$G$70,$G$67,((AA7-$G$71+1)/$G$70)*$G$67)</f>
        <v>0.7</v>
      </c>
      <c r="AB73" s="6">
        <f>IF(AB7&gt;=Summary!$H$61+$G$70,$G$67,((AB7-$G$71+1)/$G$70)*$G$67)</f>
        <v>0.7</v>
      </c>
      <c r="AC73" s="6">
        <f>IF(AC7&gt;=Summary!$H$61+$G$70,$G$67,((AC7-$G$71+1)/$G$70)*$G$67)</f>
        <v>0.7</v>
      </c>
      <c r="AD73" s="6">
        <f>IF(AD7&gt;=Summary!$H$61+$G$70,$G$67,((AD7-$G$71+1)/$G$70)*$G$67)</f>
        <v>0.7</v>
      </c>
      <c r="AE73" s="6">
        <f>IF(AE7&gt;=Summary!$H$61+$G$70,$G$67,((AE7-$G$71+1)/$G$70)*$G$67)</f>
        <v>0.7</v>
      </c>
      <c r="AF73" s="6">
        <f>IF(AF7&gt;=Summary!$H$61+$G$70,$G$67,((AF7-$G$71+1)/$G$70)*$G$67)</f>
        <v>0.7</v>
      </c>
    </row>
    <row r="74" spans="1:32" s="6" customFormat="1" ht="11.25">
      <c r="A74" s="30" t="s">
        <v>99</v>
      </c>
      <c r="G74">
        <f aca="true" t="shared" si="23" ref="G74:G85">G73+1</f>
        <v>2009</v>
      </c>
      <c r="I74" s="78"/>
      <c r="K74" s="6">
        <f aca="true" t="shared" si="24" ref="K74:AF74">J73</f>
        <v>0.06999999999999999</v>
      </c>
      <c r="L74" s="6">
        <f t="shared" si="24"/>
        <v>0.13999999999999999</v>
      </c>
      <c r="M74" s="6">
        <f t="shared" si="24"/>
        <v>0.21</v>
      </c>
      <c r="N74" s="6">
        <f t="shared" si="24"/>
        <v>0.27999999999999997</v>
      </c>
      <c r="O74" s="6">
        <f t="shared" si="24"/>
        <v>0.35</v>
      </c>
      <c r="P74" s="6">
        <f t="shared" si="24"/>
        <v>0.42</v>
      </c>
      <c r="Q74" s="6">
        <f t="shared" si="24"/>
        <v>0.48999999999999994</v>
      </c>
      <c r="R74" s="6">
        <f t="shared" si="24"/>
        <v>0.5599999999999999</v>
      </c>
      <c r="S74" s="6">
        <f t="shared" si="24"/>
        <v>0.63</v>
      </c>
      <c r="T74" s="6">
        <f t="shared" si="24"/>
        <v>0.7</v>
      </c>
      <c r="U74" s="6">
        <f t="shared" si="24"/>
        <v>0.7</v>
      </c>
      <c r="V74" s="6">
        <f t="shared" si="24"/>
        <v>0.7</v>
      </c>
      <c r="W74" s="6">
        <f t="shared" si="24"/>
        <v>0.7</v>
      </c>
      <c r="X74" s="6">
        <f t="shared" si="24"/>
        <v>0.7</v>
      </c>
      <c r="Y74" s="6">
        <f t="shared" si="24"/>
        <v>0.7</v>
      </c>
      <c r="Z74" s="6">
        <f t="shared" si="24"/>
        <v>0.7</v>
      </c>
      <c r="AA74" s="6">
        <f t="shared" si="24"/>
        <v>0.7</v>
      </c>
      <c r="AB74" s="6">
        <f t="shared" si="24"/>
        <v>0.7</v>
      </c>
      <c r="AC74" s="6">
        <f t="shared" si="24"/>
        <v>0.7</v>
      </c>
      <c r="AD74" s="6">
        <f t="shared" si="24"/>
        <v>0.7</v>
      </c>
      <c r="AE74" s="6">
        <f t="shared" si="24"/>
        <v>0.7</v>
      </c>
      <c r="AF74" s="6">
        <f t="shared" si="24"/>
        <v>0.7</v>
      </c>
    </row>
    <row r="75" spans="1:32" s="6" customFormat="1" ht="11.25">
      <c r="A75" s="30" t="s">
        <v>99</v>
      </c>
      <c r="G75">
        <f t="shared" si="23"/>
        <v>2010</v>
      </c>
      <c r="I75" s="78"/>
      <c r="L75" s="6">
        <f aca="true" t="shared" si="25" ref="L75:AF75">K74</f>
        <v>0.06999999999999999</v>
      </c>
      <c r="M75" s="6">
        <f t="shared" si="25"/>
        <v>0.13999999999999999</v>
      </c>
      <c r="N75" s="6">
        <f t="shared" si="25"/>
        <v>0.21</v>
      </c>
      <c r="O75" s="6">
        <f t="shared" si="25"/>
        <v>0.27999999999999997</v>
      </c>
      <c r="P75" s="6">
        <f t="shared" si="25"/>
        <v>0.35</v>
      </c>
      <c r="Q75" s="6">
        <f t="shared" si="25"/>
        <v>0.42</v>
      </c>
      <c r="R75" s="6">
        <f t="shared" si="25"/>
        <v>0.48999999999999994</v>
      </c>
      <c r="S75" s="6">
        <f t="shared" si="25"/>
        <v>0.5599999999999999</v>
      </c>
      <c r="T75" s="6">
        <f t="shared" si="25"/>
        <v>0.63</v>
      </c>
      <c r="U75" s="6">
        <f t="shared" si="25"/>
        <v>0.7</v>
      </c>
      <c r="V75" s="6">
        <f t="shared" si="25"/>
        <v>0.7</v>
      </c>
      <c r="W75" s="6">
        <f t="shared" si="25"/>
        <v>0.7</v>
      </c>
      <c r="X75" s="6">
        <f t="shared" si="25"/>
        <v>0.7</v>
      </c>
      <c r="Y75" s="6">
        <f t="shared" si="25"/>
        <v>0.7</v>
      </c>
      <c r="Z75" s="6">
        <f t="shared" si="25"/>
        <v>0.7</v>
      </c>
      <c r="AA75" s="6">
        <f t="shared" si="25"/>
        <v>0.7</v>
      </c>
      <c r="AB75" s="6">
        <f t="shared" si="25"/>
        <v>0.7</v>
      </c>
      <c r="AC75" s="6">
        <f t="shared" si="25"/>
        <v>0.7</v>
      </c>
      <c r="AD75" s="6">
        <f t="shared" si="25"/>
        <v>0.7</v>
      </c>
      <c r="AE75" s="6">
        <f t="shared" si="25"/>
        <v>0.7</v>
      </c>
      <c r="AF75" s="6">
        <f t="shared" si="25"/>
        <v>0.7</v>
      </c>
    </row>
    <row r="76" spans="1:32" s="6" customFormat="1" ht="11.25">
      <c r="A76" s="30" t="s">
        <v>99</v>
      </c>
      <c r="G76">
        <f t="shared" si="23"/>
        <v>2011</v>
      </c>
      <c r="H76"/>
      <c r="I76" s="78"/>
      <c r="M76" s="6">
        <f>L75</f>
        <v>0.06999999999999999</v>
      </c>
      <c r="N76" s="6">
        <f aca="true" t="shared" si="26" ref="N76:AF85">M75</f>
        <v>0.13999999999999999</v>
      </c>
      <c r="O76" s="6">
        <f t="shared" si="26"/>
        <v>0.21</v>
      </c>
      <c r="P76" s="6">
        <f t="shared" si="26"/>
        <v>0.27999999999999997</v>
      </c>
      <c r="Q76" s="6">
        <f t="shared" si="26"/>
        <v>0.35</v>
      </c>
      <c r="R76" s="6">
        <f t="shared" si="26"/>
        <v>0.42</v>
      </c>
      <c r="S76" s="6">
        <f t="shared" si="26"/>
        <v>0.48999999999999994</v>
      </c>
      <c r="T76" s="6">
        <f t="shared" si="26"/>
        <v>0.5599999999999999</v>
      </c>
      <c r="U76" s="6">
        <f t="shared" si="26"/>
        <v>0.63</v>
      </c>
      <c r="V76" s="6">
        <f t="shared" si="26"/>
        <v>0.7</v>
      </c>
      <c r="W76" s="6">
        <f t="shared" si="26"/>
        <v>0.7</v>
      </c>
      <c r="X76" s="6">
        <f t="shared" si="26"/>
        <v>0.7</v>
      </c>
      <c r="Y76" s="6">
        <f t="shared" si="26"/>
        <v>0.7</v>
      </c>
      <c r="Z76" s="6">
        <f t="shared" si="26"/>
        <v>0.7</v>
      </c>
      <c r="AA76" s="6">
        <f t="shared" si="26"/>
        <v>0.7</v>
      </c>
      <c r="AB76" s="6">
        <f t="shared" si="26"/>
        <v>0.7</v>
      </c>
      <c r="AC76" s="6">
        <f t="shared" si="26"/>
        <v>0.7</v>
      </c>
      <c r="AD76" s="6">
        <f t="shared" si="26"/>
        <v>0.7</v>
      </c>
      <c r="AE76" s="6">
        <f t="shared" si="26"/>
        <v>0.7</v>
      </c>
      <c r="AF76" s="6">
        <f t="shared" si="26"/>
        <v>0.7</v>
      </c>
    </row>
    <row r="77" spans="1:32" s="6" customFormat="1" ht="11.25">
      <c r="A77" s="30" t="s">
        <v>99</v>
      </c>
      <c r="G77">
        <f t="shared" si="23"/>
        <v>2012</v>
      </c>
      <c r="H77"/>
      <c r="I77" s="78"/>
      <c r="N77" s="6">
        <f>M76</f>
        <v>0.06999999999999999</v>
      </c>
      <c r="O77" s="6">
        <f t="shared" si="26"/>
        <v>0.13999999999999999</v>
      </c>
      <c r="P77" s="6">
        <f t="shared" si="26"/>
        <v>0.21</v>
      </c>
      <c r="Q77" s="6">
        <f t="shared" si="26"/>
        <v>0.27999999999999997</v>
      </c>
      <c r="R77" s="6">
        <f t="shared" si="26"/>
        <v>0.35</v>
      </c>
      <c r="S77" s="6">
        <f t="shared" si="26"/>
        <v>0.42</v>
      </c>
      <c r="T77" s="6">
        <f t="shared" si="26"/>
        <v>0.48999999999999994</v>
      </c>
      <c r="U77" s="6">
        <f t="shared" si="26"/>
        <v>0.5599999999999999</v>
      </c>
      <c r="V77" s="6">
        <f t="shared" si="26"/>
        <v>0.63</v>
      </c>
      <c r="W77" s="6">
        <f t="shared" si="26"/>
        <v>0.7</v>
      </c>
      <c r="X77" s="6">
        <f t="shared" si="26"/>
        <v>0.7</v>
      </c>
      <c r="Y77" s="6">
        <f t="shared" si="26"/>
        <v>0.7</v>
      </c>
      <c r="Z77" s="6">
        <f t="shared" si="26"/>
        <v>0.7</v>
      </c>
      <c r="AA77" s="6">
        <f t="shared" si="26"/>
        <v>0.7</v>
      </c>
      <c r="AB77" s="6">
        <f t="shared" si="26"/>
        <v>0.7</v>
      </c>
      <c r="AC77" s="6">
        <f t="shared" si="26"/>
        <v>0.7</v>
      </c>
      <c r="AD77" s="6">
        <f t="shared" si="26"/>
        <v>0.7</v>
      </c>
      <c r="AE77" s="6">
        <f t="shared" si="26"/>
        <v>0.7</v>
      </c>
      <c r="AF77" s="6">
        <f t="shared" si="26"/>
        <v>0.7</v>
      </c>
    </row>
    <row r="78" spans="1:32" s="6" customFormat="1" ht="11.25">
      <c r="A78" s="30" t="s">
        <v>99</v>
      </c>
      <c r="G78">
        <f t="shared" si="23"/>
        <v>2013</v>
      </c>
      <c r="H78"/>
      <c r="I78" s="78"/>
      <c r="O78" s="6">
        <f>N77</f>
        <v>0.06999999999999999</v>
      </c>
      <c r="P78" s="6">
        <f t="shared" si="26"/>
        <v>0.13999999999999999</v>
      </c>
      <c r="Q78" s="6">
        <f t="shared" si="26"/>
        <v>0.21</v>
      </c>
      <c r="R78" s="6">
        <f t="shared" si="26"/>
        <v>0.27999999999999997</v>
      </c>
      <c r="S78" s="6">
        <f t="shared" si="26"/>
        <v>0.35</v>
      </c>
      <c r="T78" s="6">
        <f t="shared" si="26"/>
        <v>0.42</v>
      </c>
      <c r="U78" s="6">
        <f t="shared" si="26"/>
        <v>0.48999999999999994</v>
      </c>
      <c r="V78" s="6">
        <f t="shared" si="26"/>
        <v>0.5599999999999999</v>
      </c>
      <c r="W78" s="6">
        <f t="shared" si="26"/>
        <v>0.63</v>
      </c>
      <c r="X78" s="6">
        <f t="shared" si="26"/>
        <v>0.7</v>
      </c>
      <c r="Y78" s="6">
        <f t="shared" si="26"/>
        <v>0.7</v>
      </c>
      <c r="Z78" s="6">
        <f t="shared" si="26"/>
        <v>0.7</v>
      </c>
      <c r="AA78" s="6">
        <f t="shared" si="26"/>
        <v>0.7</v>
      </c>
      <c r="AB78" s="6">
        <f t="shared" si="26"/>
        <v>0.7</v>
      </c>
      <c r="AC78" s="6">
        <f t="shared" si="26"/>
        <v>0.7</v>
      </c>
      <c r="AD78" s="6">
        <f t="shared" si="26"/>
        <v>0.7</v>
      </c>
      <c r="AE78" s="6">
        <f t="shared" si="26"/>
        <v>0.7</v>
      </c>
      <c r="AF78" s="6">
        <f t="shared" si="26"/>
        <v>0.7</v>
      </c>
    </row>
    <row r="79" spans="1:32" s="6" customFormat="1" ht="11.25">
      <c r="A79" s="30" t="s">
        <v>99</v>
      </c>
      <c r="G79">
        <f t="shared" si="23"/>
        <v>2014</v>
      </c>
      <c r="H79"/>
      <c r="I79" s="78"/>
      <c r="P79" s="6">
        <f>O78</f>
        <v>0.06999999999999999</v>
      </c>
      <c r="Q79" s="6">
        <f t="shared" si="26"/>
        <v>0.13999999999999999</v>
      </c>
      <c r="R79" s="6">
        <f t="shared" si="26"/>
        <v>0.21</v>
      </c>
      <c r="S79" s="6">
        <f t="shared" si="26"/>
        <v>0.27999999999999997</v>
      </c>
      <c r="T79" s="6">
        <f t="shared" si="26"/>
        <v>0.35</v>
      </c>
      <c r="U79" s="6">
        <f t="shared" si="26"/>
        <v>0.42</v>
      </c>
      <c r="V79" s="6">
        <f t="shared" si="26"/>
        <v>0.48999999999999994</v>
      </c>
      <c r="W79" s="6">
        <f t="shared" si="26"/>
        <v>0.5599999999999999</v>
      </c>
      <c r="X79" s="6">
        <f t="shared" si="26"/>
        <v>0.63</v>
      </c>
      <c r="Y79" s="6">
        <f t="shared" si="26"/>
        <v>0.7</v>
      </c>
      <c r="Z79" s="6">
        <f t="shared" si="26"/>
        <v>0.7</v>
      </c>
      <c r="AA79" s="6">
        <f t="shared" si="26"/>
        <v>0.7</v>
      </c>
      <c r="AB79" s="6">
        <f t="shared" si="26"/>
        <v>0.7</v>
      </c>
      <c r="AC79" s="6">
        <f t="shared" si="26"/>
        <v>0.7</v>
      </c>
      <c r="AD79" s="6">
        <f t="shared" si="26"/>
        <v>0.7</v>
      </c>
      <c r="AE79" s="6">
        <f t="shared" si="26"/>
        <v>0.7</v>
      </c>
      <c r="AF79" s="6">
        <f t="shared" si="26"/>
        <v>0.7</v>
      </c>
    </row>
    <row r="80" spans="1:32" s="6" customFormat="1" ht="11.25">
      <c r="A80" s="30" t="s">
        <v>99</v>
      </c>
      <c r="G80">
        <f t="shared" si="23"/>
        <v>2015</v>
      </c>
      <c r="H80"/>
      <c r="I80" s="78"/>
      <c r="Q80" s="6">
        <f>P79</f>
        <v>0.06999999999999999</v>
      </c>
      <c r="R80" s="6">
        <f t="shared" si="26"/>
        <v>0.13999999999999999</v>
      </c>
      <c r="S80" s="6">
        <f t="shared" si="26"/>
        <v>0.21</v>
      </c>
      <c r="T80" s="6">
        <f t="shared" si="26"/>
        <v>0.27999999999999997</v>
      </c>
      <c r="U80" s="6">
        <f t="shared" si="26"/>
        <v>0.35</v>
      </c>
      <c r="V80" s="6">
        <f t="shared" si="26"/>
        <v>0.42</v>
      </c>
      <c r="W80" s="6">
        <f t="shared" si="26"/>
        <v>0.48999999999999994</v>
      </c>
      <c r="X80" s="6">
        <f t="shared" si="26"/>
        <v>0.5599999999999999</v>
      </c>
      <c r="Y80" s="6">
        <f t="shared" si="26"/>
        <v>0.63</v>
      </c>
      <c r="Z80" s="6">
        <f t="shared" si="26"/>
        <v>0.7</v>
      </c>
      <c r="AA80" s="6">
        <f t="shared" si="26"/>
        <v>0.7</v>
      </c>
      <c r="AB80" s="6">
        <f t="shared" si="26"/>
        <v>0.7</v>
      </c>
      <c r="AC80" s="6">
        <f t="shared" si="26"/>
        <v>0.7</v>
      </c>
      <c r="AD80" s="6">
        <f t="shared" si="26"/>
        <v>0.7</v>
      </c>
      <c r="AE80" s="6">
        <f t="shared" si="26"/>
        <v>0.7</v>
      </c>
      <c r="AF80" s="6">
        <f t="shared" si="26"/>
        <v>0.7</v>
      </c>
    </row>
    <row r="81" spans="1:32" s="6" customFormat="1" ht="11.25">
      <c r="A81" s="30" t="s">
        <v>99</v>
      </c>
      <c r="G81">
        <f t="shared" si="23"/>
        <v>2016</v>
      </c>
      <c r="H81"/>
      <c r="I81" s="78"/>
      <c r="N81" s="32"/>
      <c r="R81" s="6">
        <f>Q80</f>
        <v>0.06999999999999999</v>
      </c>
      <c r="S81" s="6">
        <f t="shared" si="26"/>
        <v>0.13999999999999999</v>
      </c>
      <c r="T81" s="6">
        <f t="shared" si="26"/>
        <v>0.21</v>
      </c>
      <c r="U81" s="6">
        <f t="shared" si="26"/>
        <v>0.27999999999999997</v>
      </c>
      <c r="V81" s="6">
        <f t="shared" si="26"/>
        <v>0.35</v>
      </c>
      <c r="W81" s="6">
        <f t="shared" si="26"/>
        <v>0.42</v>
      </c>
      <c r="X81" s="6">
        <f t="shared" si="26"/>
        <v>0.48999999999999994</v>
      </c>
      <c r="Y81" s="6">
        <f t="shared" si="26"/>
        <v>0.5599999999999999</v>
      </c>
      <c r="Z81" s="6">
        <f t="shared" si="26"/>
        <v>0.63</v>
      </c>
      <c r="AA81" s="6">
        <f t="shared" si="26"/>
        <v>0.7</v>
      </c>
      <c r="AB81" s="6">
        <f t="shared" si="26"/>
        <v>0.7</v>
      </c>
      <c r="AC81" s="6">
        <f t="shared" si="26"/>
        <v>0.7</v>
      </c>
      <c r="AD81" s="6">
        <f t="shared" si="26"/>
        <v>0.7</v>
      </c>
      <c r="AE81" s="6">
        <f t="shared" si="26"/>
        <v>0.7</v>
      </c>
      <c r="AF81" s="6">
        <f t="shared" si="26"/>
        <v>0.7</v>
      </c>
    </row>
    <row r="82" spans="1:32" s="6" customFormat="1" ht="11.25">
      <c r="A82" s="30" t="s">
        <v>99</v>
      </c>
      <c r="G82">
        <f t="shared" si="23"/>
        <v>2017</v>
      </c>
      <c r="H82"/>
      <c r="I82" s="78"/>
      <c r="N82" s="32"/>
      <c r="S82" s="6">
        <f>R81</f>
        <v>0.06999999999999999</v>
      </c>
      <c r="T82" s="6">
        <f t="shared" si="26"/>
        <v>0.13999999999999999</v>
      </c>
      <c r="U82" s="6">
        <f t="shared" si="26"/>
        <v>0.21</v>
      </c>
      <c r="V82" s="6">
        <f t="shared" si="26"/>
        <v>0.27999999999999997</v>
      </c>
      <c r="W82" s="6">
        <f t="shared" si="26"/>
        <v>0.35</v>
      </c>
      <c r="X82" s="6">
        <f t="shared" si="26"/>
        <v>0.42</v>
      </c>
      <c r="Y82" s="6">
        <f t="shared" si="26"/>
        <v>0.48999999999999994</v>
      </c>
      <c r="Z82" s="6">
        <f t="shared" si="26"/>
        <v>0.5599999999999999</v>
      </c>
      <c r="AA82" s="6">
        <f t="shared" si="26"/>
        <v>0.63</v>
      </c>
      <c r="AB82" s="6">
        <f t="shared" si="26"/>
        <v>0.7</v>
      </c>
      <c r="AC82" s="6">
        <f t="shared" si="26"/>
        <v>0.7</v>
      </c>
      <c r="AD82" s="6">
        <f t="shared" si="26"/>
        <v>0.7</v>
      </c>
      <c r="AE82" s="6">
        <f t="shared" si="26"/>
        <v>0.7</v>
      </c>
      <c r="AF82" s="6">
        <f t="shared" si="26"/>
        <v>0.7</v>
      </c>
    </row>
    <row r="83" spans="1:32" s="6" customFormat="1" ht="11.25">
      <c r="A83" s="30" t="s">
        <v>99</v>
      </c>
      <c r="G83">
        <f t="shared" si="23"/>
        <v>2018</v>
      </c>
      <c r="H83"/>
      <c r="I83" s="78"/>
      <c r="N83" s="32"/>
      <c r="T83" s="6">
        <f>S82</f>
        <v>0.06999999999999999</v>
      </c>
      <c r="U83" s="6">
        <f t="shared" si="26"/>
        <v>0.13999999999999999</v>
      </c>
      <c r="V83" s="6">
        <f t="shared" si="26"/>
        <v>0.21</v>
      </c>
      <c r="W83" s="6">
        <f t="shared" si="26"/>
        <v>0.27999999999999997</v>
      </c>
      <c r="X83" s="6">
        <f t="shared" si="26"/>
        <v>0.35</v>
      </c>
      <c r="Y83" s="6">
        <f t="shared" si="26"/>
        <v>0.42</v>
      </c>
      <c r="Z83" s="6">
        <f t="shared" si="26"/>
        <v>0.48999999999999994</v>
      </c>
      <c r="AA83" s="6">
        <f t="shared" si="26"/>
        <v>0.5599999999999999</v>
      </c>
      <c r="AB83" s="6">
        <f t="shared" si="26"/>
        <v>0.63</v>
      </c>
      <c r="AC83" s="6">
        <f t="shared" si="26"/>
        <v>0.7</v>
      </c>
      <c r="AD83" s="6">
        <f t="shared" si="26"/>
        <v>0.7</v>
      </c>
      <c r="AE83" s="6">
        <f t="shared" si="26"/>
        <v>0.7</v>
      </c>
      <c r="AF83" s="6">
        <f t="shared" si="26"/>
        <v>0.7</v>
      </c>
    </row>
    <row r="84" spans="1:32" s="6" customFormat="1" ht="11.25">
      <c r="A84" s="30" t="s">
        <v>99</v>
      </c>
      <c r="G84">
        <f t="shared" si="23"/>
        <v>2019</v>
      </c>
      <c r="H84"/>
      <c r="I84" s="78"/>
      <c r="N84" s="32"/>
      <c r="U84" s="6">
        <f>T83</f>
        <v>0.06999999999999999</v>
      </c>
      <c r="V84" s="6">
        <f t="shared" si="26"/>
        <v>0.13999999999999999</v>
      </c>
      <c r="W84" s="6">
        <f t="shared" si="26"/>
        <v>0.21</v>
      </c>
      <c r="X84" s="6">
        <f t="shared" si="26"/>
        <v>0.27999999999999997</v>
      </c>
      <c r="Y84" s="6">
        <f t="shared" si="26"/>
        <v>0.35</v>
      </c>
      <c r="Z84" s="6">
        <f t="shared" si="26"/>
        <v>0.42</v>
      </c>
      <c r="AA84" s="6">
        <f t="shared" si="26"/>
        <v>0.48999999999999994</v>
      </c>
      <c r="AB84" s="6">
        <f t="shared" si="26"/>
        <v>0.5599999999999999</v>
      </c>
      <c r="AC84" s="6">
        <f t="shared" si="26"/>
        <v>0.63</v>
      </c>
      <c r="AD84" s="6">
        <f t="shared" si="26"/>
        <v>0.7</v>
      </c>
      <c r="AE84" s="6">
        <f t="shared" si="26"/>
        <v>0.7</v>
      </c>
      <c r="AF84" s="6">
        <f t="shared" si="26"/>
        <v>0.7</v>
      </c>
    </row>
    <row r="85" spans="1:32" s="6" customFormat="1" ht="11.25">
      <c r="A85" s="30" t="s">
        <v>99</v>
      </c>
      <c r="G85">
        <f t="shared" si="23"/>
        <v>2020</v>
      </c>
      <c r="H85"/>
      <c r="I85" s="78"/>
      <c r="N85" s="32"/>
      <c r="V85" s="6">
        <f>U84</f>
        <v>0.06999999999999999</v>
      </c>
      <c r="W85" s="6">
        <f t="shared" si="26"/>
        <v>0.13999999999999999</v>
      </c>
      <c r="X85" s="6">
        <f t="shared" si="26"/>
        <v>0.21</v>
      </c>
      <c r="Y85" s="6">
        <f t="shared" si="26"/>
        <v>0.27999999999999997</v>
      </c>
      <c r="Z85" s="6">
        <f t="shared" si="26"/>
        <v>0.35</v>
      </c>
      <c r="AA85" s="6">
        <f t="shared" si="26"/>
        <v>0.42</v>
      </c>
      <c r="AB85" s="6">
        <f t="shared" si="26"/>
        <v>0.48999999999999994</v>
      </c>
      <c r="AC85" s="6">
        <f t="shared" si="26"/>
        <v>0.5599999999999999</v>
      </c>
      <c r="AD85" s="6">
        <f t="shared" si="26"/>
        <v>0.63</v>
      </c>
      <c r="AE85" s="6">
        <f t="shared" si="26"/>
        <v>0.7</v>
      </c>
      <c r="AF85" s="6">
        <f t="shared" si="26"/>
        <v>0.7</v>
      </c>
    </row>
    <row r="86" spans="1:32" s="6" customFormat="1" ht="11.25">
      <c r="A86" s="30" t="s">
        <v>99</v>
      </c>
      <c r="F86"/>
      <c r="G86">
        <f aca="true" t="shared" si="27" ref="G86:G95">G85+1</f>
        <v>2021</v>
      </c>
      <c r="H86"/>
      <c r="I86" s="78"/>
      <c r="N86" s="32"/>
      <c r="W86" s="6">
        <f aca="true" t="shared" si="28" ref="W86:AF86">V85</f>
        <v>0.06999999999999999</v>
      </c>
      <c r="X86" s="6">
        <f t="shared" si="28"/>
        <v>0.13999999999999999</v>
      </c>
      <c r="Y86" s="6">
        <f t="shared" si="28"/>
        <v>0.21</v>
      </c>
      <c r="Z86" s="6">
        <f t="shared" si="28"/>
        <v>0.27999999999999997</v>
      </c>
      <c r="AA86" s="6">
        <f t="shared" si="28"/>
        <v>0.35</v>
      </c>
      <c r="AB86" s="6">
        <f t="shared" si="28"/>
        <v>0.42</v>
      </c>
      <c r="AC86" s="6">
        <f t="shared" si="28"/>
        <v>0.48999999999999994</v>
      </c>
      <c r="AD86" s="6">
        <f t="shared" si="28"/>
        <v>0.5599999999999999</v>
      </c>
      <c r="AE86" s="6">
        <f t="shared" si="28"/>
        <v>0.63</v>
      </c>
      <c r="AF86" s="6">
        <f t="shared" si="28"/>
        <v>0.7</v>
      </c>
    </row>
    <row r="87" spans="1:32" s="6" customFormat="1" ht="11.25">
      <c r="A87" s="30" t="s">
        <v>99</v>
      </c>
      <c r="F87"/>
      <c r="G87">
        <f t="shared" si="27"/>
        <v>2022</v>
      </c>
      <c r="H87"/>
      <c r="I87" s="78"/>
      <c r="N87" s="32"/>
      <c r="X87" s="6">
        <f aca="true" t="shared" si="29" ref="X87:AF87">W86</f>
        <v>0.06999999999999999</v>
      </c>
      <c r="Y87" s="6">
        <f t="shared" si="29"/>
        <v>0.13999999999999999</v>
      </c>
      <c r="Z87" s="6">
        <f t="shared" si="29"/>
        <v>0.21</v>
      </c>
      <c r="AA87" s="6">
        <f t="shared" si="29"/>
        <v>0.27999999999999997</v>
      </c>
      <c r="AB87" s="6">
        <f t="shared" si="29"/>
        <v>0.35</v>
      </c>
      <c r="AC87" s="6">
        <f t="shared" si="29"/>
        <v>0.42</v>
      </c>
      <c r="AD87" s="6">
        <f t="shared" si="29"/>
        <v>0.48999999999999994</v>
      </c>
      <c r="AE87" s="6">
        <f t="shared" si="29"/>
        <v>0.5599999999999999</v>
      </c>
      <c r="AF87" s="6">
        <f t="shared" si="29"/>
        <v>0.63</v>
      </c>
    </row>
    <row r="88" spans="1:32" s="6" customFormat="1" ht="11.25">
      <c r="A88" s="30" t="s">
        <v>99</v>
      </c>
      <c r="F88"/>
      <c r="G88">
        <f t="shared" si="27"/>
        <v>2023</v>
      </c>
      <c r="H88"/>
      <c r="I88" s="78"/>
      <c r="N88" s="32"/>
      <c r="Y88" s="6">
        <f>X87</f>
        <v>0.06999999999999999</v>
      </c>
      <c r="Z88" s="6">
        <f aca="true" t="shared" si="30" ref="Z88:AF93">Y87</f>
        <v>0.13999999999999999</v>
      </c>
      <c r="AA88" s="6">
        <f t="shared" si="30"/>
        <v>0.21</v>
      </c>
      <c r="AB88" s="6">
        <f t="shared" si="30"/>
        <v>0.27999999999999997</v>
      </c>
      <c r="AC88" s="6">
        <f t="shared" si="30"/>
        <v>0.35</v>
      </c>
      <c r="AD88" s="6">
        <f t="shared" si="30"/>
        <v>0.42</v>
      </c>
      <c r="AE88" s="6">
        <f t="shared" si="30"/>
        <v>0.48999999999999994</v>
      </c>
      <c r="AF88" s="6">
        <f t="shared" si="30"/>
        <v>0.5599999999999999</v>
      </c>
    </row>
    <row r="89" spans="1:32" s="6" customFormat="1" ht="11.25">
      <c r="A89" s="30" t="s">
        <v>99</v>
      </c>
      <c r="F89"/>
      <c r="G89">
        <f t="shared" si="27"/>
        <v>2024</v>
      </c>
      <c r="I89" s="33"/>
      <c r="N89" s="32"/>
      <c r="Z89" s="6">
        <f>Y88</f>
        <v>0.06999999999999999</v>
      </c>
      <c r="AA89" s="6">
        <f t="shared" si="30"/>
        <v>0.13999999999999999</v>
      </c>
      <c r="AB89" s="6">
        <f t="shared" si="30"/>
        <v>0.21</v>
      </c>
      <c r="AC89" s="6">
        <f t="shared" si="30"/>
        <v>0.27999999999999997</v>
      </c>
      <c r="AD89" s="6">
        <f t="shared" si="30"/>
        <v>0.35</v>
      </c>
      <c r="AE89" s="6">
        <f t="shared" si="30"/>
        <v>0.42</v>
      </c>
      <c r="AF89" s="6">
        <f t="shared" si="30"/>
        <v>0.48999999999999994</v>
      </c>
    </row>
    <row r="90" spans="1:32" s="6" customFormat="1" ht="11.25">
      <c r="A90" s="30" t="s">
        <v>99</v>
      </c>
      <c r="F90"/>
      <c r="G90">
        <f t="shared" si="27"/>
        <v>2025</v>
      </c>
      <c r="I90" s="33"/>
      <c r="N90" s="32"/>
      <c r="AA90" s="6">
        <f>Z89</f>
        <v>0.06999999999999999</v>
      </c>
      <c r="AB90" s="6">
        <f t="shared" si="30"/>
        <v>0.13999999999999999</v>
      </c>
      <c r="AC90" s="6">
        <f t="shared" si="30"/>
        <v>0.21</v>
      </c>
      <c r="AD90" s="6">
        <f t="shared" si="30"/>
        <v>0.27999999999999997</v>
      </c>
      <c r="AE90" s="6">
        <f t="shared" si="30"/>
        <v>0.35</v>
      </c>
      <c r="AF90" s="6">
        <f t="shared" si="30"/>
        <v>0.42</v>
      </c>
    </row>
    <row r="91" spans="1:32" s="6" customFormat="1" ht="11.25">
      <c r="A91" s="30" t="s">
        <v>99</v>
      </c>
      <c r="F91"/>
      <c r="G91">
        <f t="shared" si="27"/>
        <v>2026</v>
      </c>
      <c r="I91" s="33"/>
      <c r="N91" s="32"/>
      <c r="AB91" s="6">
        <f>AA90</f>
        <v>0.06999999999999999</v>
      </c>
      <c r="AC91" s="6">
        <f t="shared" si="30"/>
        <v>0.13999999999999999</v>
      </c>
      <c r="AD91" s="6">
        <f t="shared" si="30"/>
        <v>0.21</v>
      </c>
      <c r="AE91" s="6">
        <f t="shared" si="30"/>
        <v>0.27999999999999997</v>
      </c>
      <c r="AF91" s="6">
        <f t="shared" si="30"/>
        <v>0.35</v>
      </c>
    </row>
    <row r="92" spans="1:32" s="6" customFormat="1" ht="11.25">
      <c r="A92" s="30" t="s">
        <v>99</v>
      </c>
      <c r="F92"/>
      <c r="G92">
        <f t="shared" si="27"/>
        <v>2027</v>
      </c>
      <c r="I92" s="33"/>
      <c r="N92" s="32"/>
      <c r="AC92" s="6">
        <f>AB91</f>
        <v>0.06999999999999999</v>
      </c>
      <c r="AD92" s="6">
        <f t="shared" si="30"/>
        <v>0.13999999999999999</v>
      </c>
      <c r="AE92" s="6">
        <f t="shared" si="30"/>
        <v>0.21</v>
      </c>
      <c r="AF92" s="6">
        <f t="shared" si="30"/>
        <v>0.27999999999999997</v>
      </c>
    </row>
    <row r="93" spans="1:32" s="6" customFormat="1" ht="11.25">
      <c r="A93" s="30" t="s">
        <v>99</v>
      </c>
      <c r="F93"/>
      <c r="G93">
        <f t="shared" si="27"/>
        <v>2028</v>
      </c>
      <c r="I93" s="33"/>
      <c r="N93" s="32"/>
      <c r="AD93" s="6">
        <f>AC92</f>
        <v>0.06999999999999999</v>
      </c>
      <c r="AE93" s="6">
        <f t="shared" si="30"/>
        <v>0.13999999999999999</v>
      </c>
      <c r="AF93" s="6">
        <f t="shared" si="30"/>
        <v>0.21</v>
      </c>
    </row>
    <row r="94" spans="1:32" s="6" customFormat="1" ht="11.25">
      <c r="A94" s="30" t="s">
        <v>99</v>
      </c>
      <c r="F94"/>
      <c r="G94">
        <f t="shared" si="27"/>
        <v>2029</v>
      </c>
      <c r="I94" s="33"/>
      <c r="N94" s="32"/>
      <c r="AE94" s="6">
        <f>AD93</f>
        <v>0.06999999999999999</v>
      </c>
      <c r="AF94" s="6">
        <f>AE93</f>
        <v>0.13999999999999999</v>
      </c>
    </row>
    <row r="95" spans="1:32" s="6" customFormat="1" ht="11.25">
      <c r="A95" s="30" t="s">
        <v>99</v>
      </c>
      <c r="F95"/>
      <c r="G95">
        <f t="shared" si="27"/>
        <v>2030</v>
      </c>
      <c r="I95" s="33"/>
      <c r="N95" s="32"/>
      <c r="AF95" s="6">
        <f>AE94</f>
        <v>0.06999999999999999</v>
      </c>
    </row>
    <row r="96" spans="1:9" s="6" customFormat="1" ht="11.25">
      <c r="A96" s="30"/>
      <c r="H96"/>
      <c r="I96" s="33"/>
    </row>
    <row r="97" spans="1:32" s="16" customFormat="1" ht="11.25">
      <c r="A97" s="31" t="s">
        <v>43</v>
      </c>
      <c r="G97">
        <f aca="true" t="shared" si="31" ref="G97:G109">G73</f>
        <v>2008</v>
      </c>
      <c r="H97"/>
      <c r="I97" s="33"/>
      <c r="J97" s="16">
        <f aca="true" t="shared" si="32" ref="J97:AF97">(1+$J$65)^(-J73)</f>
        <v>0.9952708808204965</v>
      </c>
      <c r="K97" s="16">
        <f t="shared" si="32"/>
        <v>0.990564126209207</v>
      </c>
      <c r="L97" s="16">
        <f t="shared" si="32"/>
        <v>0.9858796304014231</v>
      </c>
      <c r="M97" s="16">
        <f t="shared" si="32"/>
        <v>0.9812172881326099</v>
      </c>
      <c r="N97" s="16">
        <f t="shared" si="32"/>
        <v>0.9765769946360416</v>
      </c>
      <c r="O97" s="16">
        <f t="shared" si="32"/>
        <v>0.9719586456404465</v>
      </c>
      <c r="P97" s="16">
        <f t="shared" si="32"/>
        <v>0.9673621373676641</v>
      </c>
      <c r="Q97" s="16">
        <f t="shared" si="32"/>
        <v>0.9627873665303132</v>
      </c>
      <c r="R97" s="16">
        <f t="shared" si="32"/>
        <v>0.9582342303294711</v>
      </c>
      <c r="S97" s="16">
        <f t="shared" si="32"/>
        <v>0.9537026264523633</v>
      </c>
      <c r="T97" s="16">
        <f t="shared" si="32"/>
        <v>0.9537026264523633</v>
      </c>
      <c r="U97" s="16">
        <f t="shared" si="32"/>
        <v>0.9537026264523633</v>
      </c>
      <c r="V97" s="16">
        <f t="shared" si="32"/>
        <v>0.9537026264523633</v>
      </c>
      <c r="W97" s="16">
        <f t="shared" si="32"/>
        <v>0.9537026264523633</v>
      </c>
      <c r="X97" s="16">
        <f t="shared" si="32"/>
        <v>0.9537026264523633</v>
      </c>
      <c r="Y97" s="16">
        <f t="shared" si="32"/>
        <v>0.9537026264523633</v>
      </c>
      <c r="Z97" s="16">
        <f t="shared" si="32"/>
        <v>0.9537026264523633</v>
      </c>
      <c r="AA97" s="16">
        <f t="shared" si="32"/>
        <v>0.9537026264523633</v>
      </c>
      <c r="AB97" s="16">
        <f t="shared" si="32"/>
        <v>0.9537026264523633</v>
      </c>
      <c r="AC97" s="16">
        <f t="shared" si="32"/>
        <v>0.9537026264523633</v>
      </c>
      <c r="AD97" s="16">
        <f t="shared" si="32"/>
        <v>0.9537026264523633</v>
      </c>
      <c r="AE97" s="16">
        <f t="shared" si="32"/>
        <v>0.9537026264523633</v>
      </c>
      <c r="AF97" s="16">
        <f t="shared" si="32"/>
        <v>0.9537026264523633</v>
      </c>
    </row>
    <row r="98" spans="1:32" ht="11.25">
      <c r="A98" s="31" t="s">
        <v>43</v>
      </c>
      <c r="B98" s="31"/>
      <c r="G98">
        <f t="shared" si="31"/>
        <v>2009</v>
      </c>
      <c r="J98" s="16">
        <f>(1+$J$65)^(-J74)</f>
        <v>1</v>
      </c>
      <c r="K98" s="16">
        <f>(1+$K$65)^(-K74)</f>
        <v>0.99582772442907</v>
      </c>
      <c r="L98" s="16">
        <f>(1+$K$65)^(-L74)</f>
        <v>0.9916728567415796</v>
      </c>
      <c r="M98" s="16">
        <f>(1+$K$65)^(-M74)</f>
        <v>0.9875353243070424</v>
      </c>
      <c r="N98" s="16">
        <f>(1+$K$65)^(-N74)</f>
        <v>0.9834150547980056</v>
      </c>
      <c r="O98" s="16">
        <f>(1+$K$65)^(-O74)</f>
        <v>0.9793119761887871</v>
      </c>
      <c r="P98" s="16">
        <f aca="true" t="shared" si="33" ref="P98:AF98">(1+$K$65)^(-P74)</f>
        <v>0.9752260167542152</v>
      </c>
      <c r="Q98" s="16">
        <f t="shared" si="33"/>
        <v>0.9711571050683762</v>
      </c>
      <c r="R98" s="16">
        <f t="shared" si="33"/>
        <v>0.9671051700033642</v>
      </c>
      <c r="S98" s="16">
        <f t="shared" si="33"/>
        <v>0.9630701407280391</v>
      </c>
      <c r="T98" s="16">
        <f t="shared" si="33"/>
        <v>0.9590519467067873</v>
      </c>
      <c r="U98" s="16">
        <f t="shared" si="33"/>
        <v>0.9590519467067873</v>
      </c>
      <c r="V98" s="16">
        <f t="shared" si="33"/>
        <v>0.9590519467067873</v>
      </c>
      <c r="W98" s="16">
        <f t="shared" si="33"/>
        <v>0.9590519467067873</v>
      </c>
      <c r="X98" s="16">
        <f t="shared" si="33"/>
        <v>0.9590519467067873</v>
      </c>
      <c r="Y98" s="16">
        <f t="shared" si="33"/>
        <v>0.9590519467067873</v>
      </c>
      <c r="Z98" s="16">
        <f t="shared" si="33"/>
        <v>0.9590519467067873</v>
      </c>
      <c r="AA98" s="16">
        <f t="shared" si="33"/>
        <v>0.9590519467067873</v>
      </c>
      <c r="AB98" s="16">
        <f t="shared" si="33"/>
        <v>0.9590519467067873</v>
      </c>
      <c r="AC98" s="16">
        <f t="shared" si="33"/>
        <v>0.9590519467067873</v>
      </c>
      <c r="AD98" s="16">
        <f t="shared" si="33"/>
        <v>0.9590519467067873</v>
      </c>
      <c r="AE98" s="16">
        <f t="shared" si="33"/>
        <v>0.9590519467067873</v>
      </c>
      <c r="AF98" s="16">
        <f t="shared" si="33"/>
        <v>0.9590519467067873</v>
      </c>
    </row>
    <row r="99" spans="1:33" ht="11.25">
      <c r="A99" s="31" t="s">
        <v>43</v>
      </c>
      <c r="B99" s="31"/>
      <c r="G99">
        <f t="shared" si="31"/>
        <v>2010</v>
      </c>
      <c r="H99" s="3"/>
      <c r="I99" s="77"/>
      <c r="J99" s="16">
        <f aca="true" t="shared" si="34" ref="J99:J119">(1+$J$65)^(-J75)</f>
        <v>1</v>
      </c>
      <c r="K99" s="16">
        <f aca="true" t="shared" si="35" ref="K99:L119">(1+$K$65)^(-K75)</f>
        <v>1</v>
      </c>
      <c r="L99" s="17">
        <f aca="true" t="shared" si="36" ref="L99:AF99">(1+$L$65)^(-L75)</f>
        <v>0.9962958211484491</v>
      </c>
      <c r="M99" s="17">
        <f t="shared" si="36"/>
        <v>0.9926053632378623</v>
      </c>
      <c r="N99" s="17">
        <f t="shared" si="36"/>
        <v>0.9889285754434203</v>
      </c>
      <c r="O99" s="17">
        <f t="shared" si="36"/>
        <v>0.9852654071285684</v>
      </c>
      <c r="P99" s="17">
        <f t="shared" si="36"/>
        <v>0.981615807844318</v>
      </c>
      <c r="Q99" s="17">
        <f t="shared" si="36"/>
        <v>0.977979727328553</v>
      </c>
      <c r="R99" s="17">
        <f t="shared" si="36"/>
        <v>0.9743571155053369</v>
      </c>
      <c r="S99" s="17">
        <f t="shared" si="36"/>
        <v>0.9707479224842237</v>
      </c>
      <c r="T99" s="17">
        <f t="shared" si="36"/>
        <v>0.9671520985595704</v>
      </c>
      <c r="U99" s="17">
        <f t="shared" si="36"/>
        <v>0.9635695942098529</v>
      </c>
      <c r="V99" s="17">
        <f t="shared" si="36"/>
        <v>0.9635695942098529</v>
      </c>
      <c r="W99" s="17">
        <f t="shared" si="36"/>
        <v>0.9635695942098529</v>
      </c>
      <c r="X99" s="17">
        <f t="shared" si="36"/>
        <v>0.9635695942098529</v>
      </c>
      <c r="Y99" s="17">
        <f t="shared" si="36"/>
        <v>0.9635695942098529</v>
      </c>
      <c r="Z99" s="17">
        <f t="shared" si="36"/>
        <v>0.9635695942098529</v>
      </c>
      <c r="AA99" s="17">
        <f t="shared" si="36"/>
        <v>0.9635695942098529</v>
      </c>
      <c r="AB99" s="17">
        <f t="shared" si="36"/>
        <v>0.9635695942098529</v>
      </c>
      <c r="AC99" s="17">
        <f t="shared" si="36"/>
        <v>0.9635695942098529</v>
      </c>
      <c r="AD99" s="17">
        <f t="shared" si="36"/>
        <v>0.9635695942098529</v>
      </c>
      <c r="AE99" s="17">
        <f t="shared" si="36"/>
        <v>0.9635695942098529</v>
      </c>
      <c r="AF99" s="17">
        <f t="shared" si="36"/>
        <v>0.9635695942098529</v>
      </c>
      <c r="AG99" s="17"/>
    </row>
    <row r="100" spans="1:32" ht="11.25">
      <c r="A100" s="31" t="s">
        <v>43</v>
      </c>
      <c r="B100" s="31"/>
      <c r="G100">
        <f t="shared" si="31"/>
        <v>2011</v>
      </c>
      <c r="H100" s="3"/>
      <c r="I100" s="77"/>
      <c r="J100" s="16">
        <f t="shared" si="34"/>
        <v>1</v>
      </c>
      <c r="K100" s="16">
        <f t="shared" si="35"/>
        <v>1</v>
      </c>
      <c r="L100" s="17">
        <f aca="true" t="shared" si="37" ref="L100:L119">(1+$L$65)^(-L76)</f>
        <v>1</v>
      </c>
      <c r="M100" s="17">
        <f>(1+$M$65)^(-M76)</f>
        <v>0.996694634089118</v>
      </c>
      <c r="N100" s="17">
        <f>(1+$M$65)^(-N76)</f>
        <v>0.9934001936220406</v>
      </c>
      <c r="O100" s="17">
        <f aca="true" t="shared" si="38" ref="O100:AF100">(1+$M$65)^(-O76)</f>
        <v>0.9901166424861786</v>
      </c>
      <c r="P100" s="17">
        <f t="shared" si="38"/>
        <v>0.9868439446883075</v>
      </c>
      <c r="Q100" s="17">
        <f t="shared" si="38"/>
        <v>0.9835820643541745</v>
      </c>
      <c r="R100" s="17">
        <f t="shared" si="38"/>
        <v>0.9803309657281029</v>
      </c>
      <c r="S100" s="17">
        <f t="shared" si="38"/>
        <v>0.9770906131726032</v>
      </c>
      <c r="T100" s="17">
        <f t="shared" si="38"/>
        <v>0.9738609711679794</v>
      </c>
      <c r="U100" s="17">
        <f t="shared" si="38"/>
        <v>0.9706420043119423</v>
      </c>
      <c r="V100" s="17">
        <f t="shared" si="38"/>
        <v>0.9674336773192193</v>
      </c>
      <c r="W100" s="17">
        <f t="shared" si="38"/>
        <v>0.9674336773192193</v>
      </c>
      <c r="X100" s="17">
        <f t="shared" si="38"/>
        <v>0.9674336773192193</v>
      </c>
      <c r="Y100" s="17">
        <f t="shared" si="38"/>
        <v>0.9674336773192193</v>
      </c>
      <c r="Z100" s="17">
        <f t="shared" si="38"/>
        <v>0.9674336773192193</v>
      </c>
      <c r="AA100" s="17">
        <f t="shared" si="38"/>
        <v>0.9674336773192193</v>
      </c>
      <c r="AB100" s="17">
        <f t="shared" si="38"/>
        <v>0.9674336773192193</v>
      </c>
      <c r="AC100" s="17">
        <f t="shared" si="38"/>
        <v>0.9674336773192193</v>
      </c>
      <c r="AD100" s="17">
        <f t="shared" si="38"/>
        <v>0.9674336773192193</v>
      </c>
      <c r="AE100" s="17">
        <f t="shared" si="38"/>
        <v>0.9674336773192193</v>
      </c>
      <c r="AF100" s="17">
        <f t="shared" si="38"/>
        <v>0.9674336773192193</v>
      </c>
    </row>
    <row r="101" spans="1:32" ht="11.25">
      <c r="A101" s="31" t="s">
        <v>43</v>
      </c>
      <c r="B101" s="31"/>
      <c r="G101">
        <f t="shared" si="31"/>
        <v>2012</v>
      </c>
      <c r="H101" s="3"/>
      <c r="I101" s="77"/>
      <c r="J101" s="16">
        <f t="shared" si="34"/>
        <v>1</v>
      </c>
      <c r="K101" s="16">
        <f t="shared" si="35"/>
        <v>1</v>
      </c>
      <c r="L101" s="17">
        <f t="shared" si="37"/>
        <v>1</v>
      </c>
      <c r="M101" s="17">
        <f aca="true" t="shared" si="39" ref="M101:M119">(1+$M$65)^(-M77)</f>
        <v>1</v>
      </c>
      <c r="N101" s="17">
        <f>(1+$N$65)^(-N77)</f>
        <v>0.9970383161571253</v>
      </c>
      <c r="O101" s="17">
        <f aca="true" t="shared" si="40" ref="O101:AF101">(1+$N$65)^(-O77)</f>
        <v>0.9940854038854358</v>
      </c>
      <c r="P101" s="17">
        <f t="shared" si="40"/>
        <v>0.9911412372063108</v>
      </c>
      <c r="Q101" s="17">
        <f t="shared" si="40"/>
        <v>0.98820579021807</v>
      </c>
      <c r="R101" s="17">
        <f t="shared" si="40"/>
        <v>0.9852790370957459</v>
      </c>
      <c r="S101" s="17">
        <f t="shared" si="40"/>
        <v>0.9823609520908563</v>
      </c>
      <c r="T101" s="17">
        <f t="shared" si="40"/>
        <v>0.9794515095311778</v>
      </c>
      <c r="U101" s="17">
        <f t="shared" si="40"/>
        <v>0.9765506838205202</v>
      </c>
      <c r="V101" s="17">
        <f t="shared" si="40"/>
        <v>0.9736584494385006</v>
      </c>
      <c r="W101" s="17">
        <f t="shared" si="40"/>
        <v>0.9707747809403202</v>
      </c>
      <c r="X101" s="17">
        <f t="shared" si="40"/>
        <v>0.9707747809403202</v>
      </c>
      <c r="Y101" s="17">
        <f t="shared" si="40"/>
        <v>0.9707747809403202</v>
      </c>
      <c r="Z101" s="17">
        <f t="shared" si="40"/>
        <v>0.9707747809403202</v>
      </c>
      <c r="AA101" s="17">
        <f t="shared" si="40"/>
        <v>0.9707747809403202</v>
      </c>
      <c r="AB101" s="17">
        <f t="shared" si="40"/>
        <v>0.9707747809403202</v>
      </c>
      <c r="AC101" s="17">
        <f t="shared" si="40"/>
        <v>0.9707747809403202</v>
      </c>
      <c r="AD101" s="17">
        <f t="shared" si="40"/>
        <v>0.9707747809403202</v>
      </c>
      <c r="AE101" s="17">
        <f t="shared" si="40"/>
        <v>0.9707747809403202</v>
      </c>
      <c r="AF101" s="17">
        <f t="shared" si="40"/>
        <v>0.9707747809403202</v>
      </c>
    </row>
    <row r="102" spans="1:32" ht="11.25">
      <c r="A102" s="31" t="s">
        <v>43</v>
      </c>
      <c r="B102" s="31"/>
      <c r="G102">
        <f t="shared" si="31"/>
        <v>2013</v>
      </c>
      <c r="H102" s="3"/>
      <c r="I102" s="77"/>
      <c r="J102" s="16">
        <f t="shared" si="34"/>
        <v>1</v>
      </c>
      <c r="K102" s="16">
        <f t="shared" si="35"/>
        <v>1</v>
      </c>
      <c r="L102" s="17">
        <f t="shared" si="37"/>
        <v>1</v>
      </c>
      <c r="M102" s="17">
        <f t="shared" si="39"/>
        <v>1</v>
      </c>
      <c r="N102" s="17">
        <f aca="true" t="shared" si="41" ref="N102:N119">(1+$N$65)^(-N78)</f>
        <v>1</v>
      </c>
      <c r="O102" s="17">
        <f>(1+$O$65)^(-O78)</f>
        <v>0.9973374059629527</v>
      </c>
      <c r="P102" s="17">
        <f aca="true" t="shared" si="42" ref="P102:AF102">(1+$O$65)^(-P78)</f>
        <v>0.9946819013329116</v>
      </c>
      <c r="Q102" s="17">
        <f t="shared" si="42"/>
        <v>0.9920334672336639</v>
      </c>
      <c r="R102" s="17">
        <f t="shared" si="42"/>
        <v>0.9893920848392562</v>
      </c>
      <c r="S102" s="17">
        <f t="shared" si="42"/>
        <v>0.9867577353738615</v>
      </c>
      <c r="T102" s="17">
        <f t="shared" si="42"/>
        <v>0.9841304001116448</v>
      </c>
      <c r="U102" s="17">
        <f t="shared" si="42"/>
        <v>0.9815100603766306</v>
      </c>
      <c r="V102" s="17">
        <f t="shared" si="42"/>
        <v>0.9788966975425699</v>
      </c>
      <c r="W102" s="17">
        <f t="shared" si="42"/>
        <v>0.9762902930328078</v>
      </c>
      <c r="X102" s="17">
        <f t="shared" si="42"/>
        <v>0.9736908283201515</v>
      </c>
      <c r="Y102" s="17">
        <f t="shared" si="42"/>
        <v>0.9736908283201515</v>
      </c>
      <c r="Z102" s="17">
        <f t="shared" si="42"/>
        <v>0.9736908283201515</v>
      </c>
      <c r="AA102" s="17">
        <f t="shared" si="42"/>
        <v>0.9736908283201515</v>
      </c>
      <c r="AB102" s="17">
        <f t="shared" si="42"/>
        <v>0.9736908283201515</v>
      </c>
      <c r="AC102" s="17">
        <f t="shared" si="42"/>
        <v>0.9736908283201515</v>
      </c>
      <c r="AD102" s="17">
        <f t="shared" si="42"/>
        <v>0.9736908283201515</v>
      </c>
      <c r="AE102" s="17">
        <f t="shared" si="42"/>
        <v>0.9736908283201515</v>
      </c>
      <c r="AF102" s="17">
        <f t="shared" si="42"/>
        <v>0.9736908283201515</v>
      </c>
    </row>
    <row r="103" spans="1:32" ht="11.25">
      <c r="A103" s="31" t="s">
        <v>43</v>
      </c>
      <c r="B103" s="31"/>
      <c r="G103">
        <f t="shared" si="31"/>
        <v>2014</v>
      </c>
      <c r="H103" s="3"/>
      <c r="I103" s="77"/>
      <c r="J103" s="16">
        <f t="shared" si="34"/>
        <v>1</v>
      </c>
      <c r="K103" s="16">
        <f t="shared" si="35"/>
        <v>1</v>
      </c>
      <c r="L103" s="17">
        <f t="shared" si="37"/>
        <v>1</v>
      </c>
      <c r="M103" s="17">
        <f t="shared" si="39"/>
        <v>1</v>
      </c>
      <c r="N103" s="17">
        <f t="shared" si="41"/>
        <v>1</v>
      </c>
      <c r="O103" s="17">
        <f aca="true" t="shared" si="43" ref="O103:O119">(1+$O$65)^(-O79)</f>
        <v>1</v>
      </c>
      <c r="P103" s="17">
        <f>(1+$P$65)^(-P79)</f>
        <v>0.9975999126284922</v>
      </c>
      <c r="Q103" s="17">
        <f aca="true" t="shared" si="44" ref="Q103:AF103">(1+$P$65)^(-Q79)</f>
        <v>0.9952055856763756</v>
      </c>
      <c r="R103" s="17">
        <f t="shared" si="44"/>
        <v>0.9928170053181399</v>
      </c>
      <c r="S103" s="17">
        <f t="shared" si="44"/>
        <v>0.9904341577614576</v>
      </c>
      <c r="T103" s="17">
        <f t="shared" si="44"/>
        <v>0.9880570292471045</v>
      </c>
      <c r="U103" s="17">
        <f t="shared" si="44"/>
        <v>0.9856856060488793</v>
      </c>
      <c r="V103" s="17">
        <f t="shared" si="44"/>
        <v>0.9833198744735245</v>
      </c>
      <c r="W103" s="17">
        <f t="shared" si="44"/>
        <v>0.9809598208606481</v>
      </c>
      <c r="X103" s="17">
        <f t="shared" si="44"/>
        <v>0.9786054315826439</v>
      </c>
      <c r="Y103" s="17">
        <f t="shared" si="44"/>
        <v>0.9762566930446137</v>
      </c>
      <c r="Z103" s="17">
        <f t="shared" si="44"/>
        <v>0.9762566930446137</v>
      </c>
      <c r="AA103" s="17">
        <f t="shared" si="44"/>
        <v>0.9762566930446137</v>
      </c>
      <c r="AB103" s="17">
        <f t="shared" si="44"/>
        <v>0.9762566930446137</v>
      </c>
      <c r="AC103" s="17">
        <f t="shared" si="44"/>
        <v>0.9762566930446137</v>
      </c>
      <c r="AD103" s="17">
        <f t="shared" si="44"/>
        <v>0.9762566930446137</v>
      </c>
      <c r="AE103" s="17">
        <f t="shared" si="44"/>
        <v>0.9762566930446137</v>
      </c>
      <c r="AF103" s="17">
        <f t="shared" si="44"/>
        <v>0.9762566930446137</v>
      </c>
    </row>
    <row r="104" spans="1:32" ht="11.25">
      <c r="A104" s="31" t="s">
        <v>43</v>
      </c>
      <c r="B104" s="31"/>
      <c r="G104">
        <f t="shared" si="31"/>
        <v>2015</v>
      </c>
      <c r="H104" s="3"/>
      <c r="I104" s="77"/>
      <c r="J104" s="16">
        <f t="shared" si="34"/>
        <v>1</v>
      </c>
      <c r="K104" s="16">
        <f t="shared" si="35"/>
        <v>1</v>
      </c>
      <c r="L104" s="17">
        <f t="shared" si="37"/>
        <v>1</v>
      </c>
      <c r="M104" s="17">
        <f t="shared" si="39"/>
        <v>1</v>
      </c>
      <c r="N104" s="17">
        <f t="shared" si="41"/>
        <v>1</v>
      </c>
      <c r="O104" s="17">
        <f t="shared" si="43"/>
        <v>1</v>
      </c>
      <c r="P104" s="17">
        <f aca="true" t="shared" si="45" ref="P104:P119">(1+$P$65)^(-P80)</f>
        <v>1</v>
      </c>
      <c r="Q104" s="17">
        <f aca="true" t="shared" si="46" ref="Q104:Q119">(1+$Q$65)^(-Q80)</f>
        <v>0.997832031906876</v>
      </c>
      <c r="R104" s="17">
        <f aca="true" t="shared" si="47" ref="R104:AF104">(1+$Q$65)^(-R80)</f>
        <v>0.9956687638994048</v>
      </c>
      <c r="S104" s="17">
        <f t="shared" si="47"/>
        <v>0.9935101857879509</v>
      </c>
      <c r="T104" s="17">
        <f t="shared" si="47"/>
        <v>0.9913562874049691</v>
      </c>
      <c r="U104" s="17">
        <f t="shared" si="47"/>
        <v>0.9892070586049572</v>
      </c>
      <c r="V104" s="17">
        <f t="shared" si="47"/>
        <v>0.9870624892644088</v>
      </c>
      <c r="W104" s="17">
        <f t="shared" si="47"/>
        <v>0.984922569281764</v>
      </c>
      <c r="X104" s="17">
        <f t="shared" si="47"/>
        <v>0.9827872885773635</v>
      </c>
      <c r="Y104" s="17">
        <f t="shared" si="47"/>
        <v>0.9806566370934001</v>
      </c>
      <c r="Z104" s="17">
        <f t="shared" si="47"/>
        <v>0.9785306047938713</v>
      </c>
      <c r="AA104" s="17">
        <f t="shared" si="47"/>
        <v>0.9785306047938713</v>
      </c>
      <c r="AB104" s="17">
        <f t="shared" si="47"/>
        <v>0.9785306047938713</v>
      </c>
      <c r="AC104" s="17">
        <f t="shared" si="47"/>
        <v>0.9785306047938713</v>
      </c>
      <c r="AD104" s="17">
        <f t="shared" si="47"/>
        <v>0.9785306047938713</v>
      </c>
      <c r="AE104" s="17">
        <f t="shared" si="47"/>
        <v>0.9785306047938713</v>
      </c>
      <c r="AF104" s="17">
        <f t="shared" si="47"/>
        <v>0.9785306047938713</v>
      </c>
    </row>
    <row r="105" spans="1:32" ht="11.25">
      <c r="A105" s="31" t="s">
        <v>43</v>
      </c>
      <c r="B105" s="31"/>
      <c r="G105">
        <f t="shared" si="31"/>
        <v>2016</v>
      </c>
      <c r="J105" s="16">
        <f t="shared" si="34"/>
        <v>1</v>
      </c>
      <c r="K105" s="16">
        <f t="shared" si="35"/>
        <v>1</v>
      </c>
      <c r="L105" s="17">
        <f t="shared" si="37"/>
        <v>1</v>
      </c>
      <c r="M105" s="17">
        <f t="shared" si="39"/>
        <v>1</v>
      </c>
      <c r="N105" s="17">
        <f t="shared" si="41"/>
        <v>1</v>
      </c>
      <c r="O105" s="17">
        <f t="shared" si="43"/>
        <v>1</v>
      </c>
      <c r="P105" s="17">
        <f t="shared" si="45"/>
        <v>1</v>
      </c>
      <c r="Q105" s="17">
        <f t="shared" si="46"/>
        <v>1</v>
      </c>
      <c r="R105" s="17">
        <f>(1+$R$65)^(-R81)</f>
        <v>0.9980386319992502</v>
      </c>
      <c r="S105" s="17">
        <f aca="true" t="shared" si="48" ref="S105:AF105">(1+$R$65)^(-S81)</f>
        <v>0.9960811109629347</v>
      </c>
      <c r="T105" s="17">
        <f t="shared" si="48"/>
        <v>0.9941274293457407</v>
      </c>
      <c r="U105" s="17">
        <f t="shared" si="48"/>
        <v>0.9921775796171542</v>
      </c>
      <c r="V105" s="17">
        <f t="shared" si="48"/>
        <v>0.9902315542614316</v>
      </c>
      <c r="W105" s="17">
        <f t="shared" si="48"/>
        <v>0.9882893457775705</v>
      </c>
      <c r="X105" s="17">
        <f t="shared" si="48"/>
        <v>0.9863509466792806</v>
      </c>
      <c r="Y105" s="17">
        <f t="shared" si="48"/>
        <v>0.9844163494949544</v>
      </c>
      <c r="Z105" s="17">
        <f t="shared" si="48"/>
        <v>0.98248554676764</v>
      </c>
      <c r="AA105" s="17">
        <f t="shared" si="48"/>
        <v>0.9805585310550108</v>
      </c>
      <c r="AB105" s="17">
        <f t="shared" si="48"/>
        <v>0.9805585310550108</v>
      </c>
      <c r="AC105" s="17">
        <f t="shared" si="48"/>
        <v>0.9805585310550108</v>
      </c>
      <c r="AD105" s="17">
        <f t="shared" si="48"/>
        <v>0.9805585310550108</v>
      </c>
      <c r="AE105" s="17">
        <f t="shared" si="48"/>
        <v>0.9805585310550108</v>
      </c>
      <c r="AF105" s="17">
        <f t="shared" si="48"/>
        <v>0.9805585310550108</v>
      </c>
    </row>
    <row r="106" spans="1:32" ht="11.25">
      <c r="A106" s="31" t="s">
        <v>43</v>
      </c>
      <c r="B106" s="31"/>
      <c r="G106">
        <f t="shared" si="31"/>
        <v>2017</v>
      </c>
      <c r="J106" s="16">
        <f t="shared" si="34"/>
        <v>1</v>
      </c>
      <c r="K106" s="16">
        <f t="shared" si="35"/>
        <v>1</v>
      </c>
      <c r="L106" s="16">
        <f t="shared" si="35"/>
        <v>1</v>
      </c>
      <c r="M106" s="17">
        <f t="shared" si="39"/>
        <v>1</v>
      </c>
      <c r="N106" s="17">
        <f t="shared" si="41"/>
        <v>1</v>
      </c>
      <c r="O106" s="17">
        <f t="shared" si="43"/>
        <v>1</v>
      </c>
      <c r="P106" s="17">
        <f t="shared" si="45"/>
        <v>1</v>
      </c>
      <c r="Q106" s="17">
        <f t="shared" si="46"/>
        <v>1</v>
      </c>
      <c r="R106" s="17">
        <f>(1+$R$65)^(-R82)</f>
        <v>1</v>
      </c>
      <c r="S106" s="17">
        <f>(1+$S$65)^(-S82)</f>
        <v>0.9982235910997439</v>
      </c>
      <c r="T106" s="17">
        <f aca="true" t="shared" si="49" ref="T106:AF106">(1+$S$65)^(-T82)</f>
        <v>0.9964503378280688</v>
      </c>
      <c r="U106" s="17">
        <f t="shared" si="49"/>
        <v>0.9946802345792877</v>
      </c>
      <c r="V106" s="17">
        <f t="shared" si="49"/>
        <v>0.9929132757576723</v>
      </c>
      <c r="W106" s="17">
        <f t="shared" si="49"/>
        <v>0.9911494557774339</v>
      </c>
      <c r="X106" s="17">
        <f t="shared" si="49"/>
        <v>0.9893887690627068</v>
      </c>
      <c r="Y106" s="17">
        <f t="shared" si="49"/>
        <v>0.9876312100475305</v>
      </c>
      <c r="Z106" s="17">
        <f t="shared" si="49"/>
        <v>0.9858767731758313</v>
      </c>
      <c r="AA106" s="17">
        <f t="shared" si="49"/>
        <v>0.9841254529014059</v>
      </c>
      <c r="AB106" s="17">
        <f t="shared" si="49"/>
        <v>0.9823772436879034</v>
      </c>
      <c r="AC106" s="17">
        <f t="shared" si="49"/>
        <v>0.9823772436879034</v>
      </c>
      <c r="AD106" s="17">
        <f t="shared" si="49"/>
        <v>0.9823772436879034</v>
      </c>
      <c r="AE106" s="17">
        <f t="shared" si="49"/>
        <v>0.9823772436879034</v>
      </c>
      <c r="AF106" s="17">
        <f t="shared" si="49"/>
        <v>0.9823772436879034</v>
      </c>
    </row>
    <row r="107" spans="1:32" ht="11.25">
      <c r="A107" s="31" t="s">
        <v>43</v>
      </c>
      <c r="B107" s="31"/>
      <c r="G107">
        <f t="shared" si="31"/>
        <v>2018</v>
      </c>
      <c r="J107" s="16">
        <f t="shared" si="34"/>
        <v>1</v>
      </c>
      <c r="K107" s="16">
        <f t="shared" si="35"/>
        <v>1</v>
      </c>
      <c r="L107" s="16">
        <f t="shared" si="35"/>
        <v>1</v>
      </c>
      <c r="M107" s="17">
        <f t="shared" si="39"/>
        <v>1</v>
      </c>
      <c r="N107" s="17">
        <f t="shared" si="41"/>
        <v>1</v>
      </c>
      <c r="O107" s="17">
        <f t="shared" si="43"/>
        <v>1</v>
      </c>
      <c r="P107" s="17">
        <f t="shared" si="45"/>
        <v>1</v>
      </c>
      <c r="Q107" s="17">
        <f t="shared" si="46"/>
        <v>1</v>
      </c>
      <c r="R107" s="17">
        <f>(1+$R$65)^(-R83)</f>
        <v>1</v>
      </c>
      <c r="S107" s="17">
        <f>(1+$S$65)^(-S83)</f>
        <v>1</v>
      </c>
      <c r="T107" s="17">
        <f>(1+$T$65)^(-T83)</f>
        <v>0.9983900369178992</v>
      </c>
      <c r="U107" s="17">
        <f aca="true" t="shared" si="50" ref="U107:AF107">(1+$T$65)^(-U83)</f>
        <v>0.9967826658169242</v>
      </c>
      <c r="V107" s="17">
        <f t="shared" si="50"/>
        <v>0.995177882524081</v>
      </c>
      <c r="W107" s="17">
        <f t="shared" si="50"/>
        <v>0.9935756828730942</v>
      </c>
      <c r="X107" s="17">
        <f t="shared" si="50"/>
        <v>0.9919760627043954</v>
      </c>
      <c r="Y107" s="17">
        <f t="shared" si="50"/>
        <v>0.9903790178651136</v>
      </c>
      <c r="Z107" s="17">
        <f t="shared" si="50"/>
        <v>0.9887845442090636</v>
      </c>
      <c r="AA107" s="17">
        <f t="shared" si="50"/>
        <v>0.9871926375967354</v>
      </c>
      <c r="AB107" s="17">
        <f t="shared" si="50"/>
        <v>0.9856032938952828</v>
      </c>
      <c r="AC107" s="17">
        <f t="shared" si="50"/>
        <v>0.9840165089785144</v>
      </c>
      <c r="AD107" s="17">
        <f t="shared" si="50"/>
        <v>0.9840165089785144</v>
      </c>
      <c r="AE107" s="17">
        <f t="shared" si="50"/>
        <v>0.9840165089785144</v>
      </c>
      <c r="AF107" s="17">
        <f t="shared" si="50"/>
        <v>0.9840165089785144</v>
      </c>
    </row>
    <row r="108" spans="1:32" ht="11.25">
      <c r="A108" s="31" t="s">
        <v>43</v>
      </c>
      <c r="B108" s="31"/>
      <c r="G108">
        <f t="shared" si="31"/>
        <v>2019</v>
      </c>
      <c r="J108" s="16">
        <f t="shared" si="34"/>
        <v>1</v>
      </c>
      <c r="K108" s="16">
        <f t="shared" si="35"/>
        <v>1</v>
      </c>
      <c r="L108" s="17">
        <f t="shared" si="37"/>
        <v>1</v>
      </c>
      <c r="M108" s="17">
        <f t="shared" si="39"/>
        <v>1</v>
      </c>
      <c r="N108" s="17">
        <f t="shared" si="41"/>
        <v>1</v>
      </c>
      <c r="O108" s="17">
        <f t="shared" si="43"/>
        <v>1</v>
      </c>
      <c r="P108" s="17">
        <f t="shared" si="45"/>
        <v>1</v>
      </c>
      <c r="Q108" s="17">
        <f t="shared" si="46"/>
        <v>1</v>
      </c>
      <c r="R108" s="17">
        <f>(1+$R$65)^(-R84)</f>
        <v>1</v>
      </c>
      <c r="S108" s="17">
        <f>(1+$S$65)^(-S84)</f>
        <v>1</v>
      </c>
      <c r="T108" s="17">
        <f>(1+$T$65)^(-T84)</f>
        <v>1</v>
      </c>
      <c r="U108" s="17">
        <f>(1+$U$65)^(-U84)</f>
        <v>0.9985405198610232</v>
      </c>
      <c r="V108" s="17">
        <f aca="true" t="shared" si="51" ref="V108:AF108">(1+$U$65)^(-V84)</f>
        <v>0.9970831698043224</v>
      </c>
      <c r="W108" s="17">
        <f t="shared" si="51"/>
        <v>0.995627946721085</v>
      </c>
      <c r="X108" s="17">
        <f t="shared" si="51"/>
        <v>0.9941748475070352</v>
      </c>
      <c r="Y108" s="17">
        <f t="shared" si="51"/>
        <v>0.9927238690624284</v>
      </c>
      <c r="Z108" s="17">
        <f t="shared" si="51"/>
        <v>0.9912750082920436</v>
      </c>
      <c r="AA108" s="17">
        <f t="shared" si="51"/>
        <v>0.9898282621051772</v>
      </c>
      <c r="AB108" s="17">
        <f t="shared" si="51"/>
        <v>0.9883836274156367</v>
      </c>
      <c r="AC108" s="17">
        <f t="shared" si="51"/>
        <v>0.9869411011417336</v>
      </c>
      <c r="AD108" s="17">
        <f t="shared" si="51"/>
        <v>0.9855006802062775</v>
      </c>
      <c r="AE108" s="17">
        <f t="shared" si="51"/>
        <v>0.9855006802062775</v>
      </c>
      <c r="AF108" s="17">
        <f t="shared" si="51"/>
        <v>0.9855006802062775</v>
      </c>
    </row>
    <row r="109" spans="1:32" ht="11.25">
      <c r="A109" s="31" t="s">
        <v>43</v>
      </c>
      <c r="B109" s="31"/>
      <c r="G109">
        <f t="shared" si="31"/>
        <v>2020</v>
      </c>
      <c r="J109" s="16">
        <f t="shared" si="34"/>
        <v>1</v>
      </c>
      <c r="K109" s="16">
        <f t="shared" si="35"/>
        <v>1</v>
      </c>
      <c r="L109" s="17">
        <f t="shared" si="37"/>
        <v>1</v>
      </c>
      <c r="M109" s="17">
        <f t="shared" si="39"/>
        <v>1</v>
      </c>
      <c r="N109" s="17">
        <f t="shared" si="41"/>
        <v>1</v>
      </c>
      <c r="O109" s="17">
        <f t="shared" si="43"/>
        <v>1</v>
      </c>
      <c r="P109" s="17">
        <f t="shared" si="45"/>
        <v>1</v>
      </c>
      <c r="Q109" s="17">
        <f t="shared" si="46"/>
        <v>1</v>
      </c>
      <c r="R109" s="17">
        <f>(1+$R$65)^(-R85)</f>
        <v>1</v>
      </c>
      <c r="S109" s="17">
        <f>(1+$S$65)^(-S85)</f>
        <v>1</v>
      </c>
      <c r="T109" s="17">
        <f>(1+$T$65)^(-T85)</f>
        <v>1</v>
      </c>
      <c r="U109" s="17">
        <f>(1+$U$65)^(-U85)</f>
        <v>1</v>
      </c>
      <c r="V109" s="17">
        <f aca="true" t="shared" si="52" ref="V109:V117">(1+$V$65)^(-V85)</f>
        <v>0.9986771403704564</v>
      </c>
      <c r="W109" s="17">
        <f aca="true" t="shared" si="53" ref="W109:AF109">(1+$V$65)^(-W85)</f>
        <v>0.9973560306985123</v>
      </c>
      <c r="X109" s="17">
        <f t="shared" si="53"/>
        <v>0.9960366686692194</v>
      </c>
      <c r="Y109" s="17">
        <f t="shared" si="53"/>
        <v>0.9947190519706914</v>
      </c>
      <c r="Z109" s="17">
        <f t="shared" si="53"/>
        <v>0.9934031782941015</v>
      </c>
      <c r="AA109" s="17">
        <f t="shared" si="53"/>
        <v>0.992089045333676</v>
      </c>
      <c r="AB109" s="17">
        <f t="shared" si="53"/>
        <v>0.9907766507866917</v>
      </c>
      <c r="AC109" s="17">
        <f t="shared" si="53"/>
        <v>0.9894659923534714</v>
      </c>
      <c r="AD109" s="17">
        <f t="shared" si="53"/>
        <v>0.9881570677373808</v>
      </c>
      <c r="AE109" s="17">
        <f t="shared" si="53"/>
        <v>0.9868498746448228</v>
      </c>
      <c r="AF109" s="17">
        <f t="shared" si="53"/>
        <v>0.9868498746448228</v>
      </c>
    </row>
    <row r="110" spans="1:32" ht="11.25">
      <c r="A110" s="31" t="s">
        <v>43</v>
      </c>
      <c r="B110" s="31"/>
      <c r="G110">
        <f aca="true" t="shared" si="54" ref="G110:G119">G86</f>
        <v>2021</v>
      </c>
      <c r="J110" s="16">
        <f t="shared" si="34"/>
        <v>1</v>
      </c>
      <c r="K110" s="16">
        <f t="shared" si="35"/>
        <v>1</v>
      </c>
      <c r="L110" s="17">
        <f t="shared" si="37"/>
        <v>1</v>
      </c>
      <c r="M110" s="17">
        <f t="shared" si="39"/>
        <v>1</v>
      </c>
      <c r="N110" s="17">
        <f t="shared" si="41"/>
        <v>1</v>
      </c>
      <c r="O110" s="17">
        <f t="shared" si="43"/>
        <v>1</v>
      </c>
      <c r="P110" s="17">
        <f t="shared" si="45"/>
        <v>1</v>
      </c>
      <c r="Q110" s="17">
        <f t="shared" si="46"/>
        <v>1</v>
      </c>
      <c r="R110" s="17">
        <f aca="true" t="shared" si="55" ref="R110:R119">(1+$R$65)^(-R86)</f>
        <v>1</v>
      </c>
      <c r="S110" s="17">
        <f aca="true" t="shared" si="56" ref="S110:S119">(1+$S$65)^(-S86)</f>
        <v>1</v>
      </c>
      <c r="T110" s="17">
        <f aca="true" t="shared" si="57" ref="T110:T119">(1+$T$65)^(-T86)</f>
        <v>1</v>
      </c>
      <c r="U110" s="17">
        <f aca="true" t="shared" si="58" ref="U110:U119">(1+$U$65)^(-U86)</f>
        <v>1</v>
      </c>
      <c r="V110" s="17">
        <f t="shared" si="52"/>
        <v>1</v>
      </c>
      <c r="W110" s="17">
        <f aca="true" t="shared" si="59" ref="W110:AF110">(1+$V$65)^(-W86)</f>
        <v>0.9986771403704564</v>
      </c>
      <c r="X110" s="17">
        <f t="shared" si="59"/>
        <v>0.9973560306985123</v>
      </c>
      <c r="Y110" s="17">
        <f t="shared" si="59"/>
        <v>0.9960366686692194</v>
      </c>
      <c r="Z110" s="17">
        <f t="shared" si="59"/>
        <v>0.9947190519706914</v>
      </c>
      <c r="AA110" s="17">
        <f t="shared" si="59"/>
        <v>0.9934031782941015</v>
      </c>
      <c r="AB110" s="17">
        <f t="shared" si="59"/>
        <v>0.992089045333676</v>
      </c>
      <c r="AC110" s="17">
        <f t="shared" si="59"/>
        <v>0.9907766507866917</v>
      </c>
      <c r="AD110" s="17">
        <f t="shared" si="59"/>
        <v>0.9894659923534714</v>
      </c>
      <c r="AE110" s="17">
        <f t="shared" si="59"/>
        <v>0.9881570677373808</v>
      </c>
      <c r="AF110" s="17">
        <f t="shared" si="59"/>
        <v>0.9868498746448228</v>
      </c>
    </row>
    <row r="111" spans="1:32" ht="11.25">
      <c r="A111" s="31" t="s">
        <v>43</v>
      </c>
      <c r="B111" s="31"/>
      <c r="G111">
        <f t="shared" si="54"/>
        <v>2022</v>
      </c>
      <c r="J111" s="16">
        <f t="shared" si="34"/>
        <v>1</v>
      </c>
      <c r="K111" s="16">
        <f t="shared" si="35"/>
        <v>1</v>
      </c>
      <c r="L111" s="17">
        <f t="shared" si="37"/>
        <v>1</v>
      </c>
      <c r="M111" s="17">
        <f t="shared" si="39"/>
        <v>1</v>
      </c>
      <c r="N111" s="17">
        <f t="shared" si="41"/>
        <v>1</v>
      </c>
      <c r="O111" s="17">
        <f t="shared" si="43"/>
        <v>1</v>
      </c>
      <c r="P111" s="17">
        <f t="shared" si="45"/>
        <v>1</v>
      </c>
      <c r="Q111" s="17">
        <f t="shared" si="46"/>
        <v>1</v>
      </c>
      <c r="R111" s="17">
        <f t="shared" si="55"/>
        <v>1</v>
      </c>
      <c r="S111" s="17">
        <f t="shared" si="56"/>
        <v>1</v>
      </c>
      <c r="T111" s="17">
        <f t="shared" si="57"/>
        <v>1</v>
      </c>
      <c r="U111" s="17">
        <f t="shared" si="58"/>
        <v>1</v>
      </c>
      <c r="V111" s="17">
        <f t="shared" si="52"/>
        <v>1</v>
      </c>
      <c r="W111" s="17">
        <f aca="true" t="shared" si="60" ref="W111:AF111">(1+$V$65)^(-W87)</f>
        <v>1</v>
      </c>
      <c r="X111" s="17">
        <f t="shared" si="60"/>
        <v>0.9986771403704564</v>
      </c>
      <c r="Y111" s="17">
        <f t="shared" si="60"/>
        <v>0.9973560306985123</v>
      </c>
      <c r="Z111" s="17">
        <f t="shared" si="60"/>
        <v>0.9960366686692194</v>
      </c>
      <c r="AA111" s="17">
        <f t="shared" si="60"/>
        <v>0.9947190519706914</v>
      </c>
      <c r="AB111" s="17">
        <f t="shared" si="60"/>
        <v>0.9934031782941015</v>
      </c>
      <c r="AC111" s="17">
        <f t="shared" si="60"/>
        <v>0.992089045333676</v>
      </c>
      <c r="AD111" s="17">
        <f t="shared" si="60"/>
        <v>0.9907766507866917</v>
      </c>
      <c r="AE111" s="17">
        <f t="shared" si="60"/>
        <v>0.9894659923534714</v>
      </c>
      <c r="AF111" s="17">
        <f t="shared" si="60"/>
        <v>0.9881570677373808</v>
      </c>
    </row>
    <row r="112" spans="1:32" ht="11.25">
      <c r="A112" s="31" t="s">
        <v>43</v>
      </c>
      <c r="B112" s="31"/>
      <c r="G112">
        <f t="shared" si="54"/>
        <v>2023</v>
      </c>
      <c r="J112" s="16">
        <f t="shared" si="34"/>
        <v>1</v>
      </c>
      <c r="K112" s="16">
        <f t="shared" si="35"/>
        <v>1</v>
      </c>
      <c r="L112" s="17">
        <f t="shared" si="37"/>
        <v>1</v>
      </c>
      <c r="M112" s="17">
        <f t="shared" si="39"/>
        <v>1</v>
      </c>
      <c r="N112" s="17">
        <f t="shared" si="41"/>
        <v>1</v>
      </c>
      <c r="O112" s="17">
        <f t="shared" si="43"/>
        <v>1</v>
      </c>
      <c r="P112" s="17">
        <f t="shared" si="45"/>
        <v>1</v>
      </c>
      <c r="Q112" s="17">
        <f t="shared" si="46"/>
        <v>1</v>
      </c>
      <c r="R112" s="17">
        <f t="shared" si="55"/>
        <v>1</v>
      </c>
      <c r="S112" s="17">
        <f t="shared" si="56"/>
        <v>1</v>
      </c>
      <c r="T112" s="17">
        <f t="shared" si="57"/>
        <v>1</v>
      </c>
      <c r="U112" s="17">
        <f t="shared" si="58"/>
        <v>1</v>
      </c>
      <c r="V112" s="17">
        <f t="shared" si="52"/>
        <v>1</v>
      </c>
      <c r="W112" s="17">
        <f aca="true" t="shared" si="61" ref="W112:AF112">(1+$V$65)^(-W88)</f>
        <v>1</v>
      </c>
      <c r="X112" s="17">
        <f t="shared" si="61"/>
        <v>1</v>
      </c>
      <c r="Y112" s="17">
        <f t="shared" si="61"/>
        <v>0.9986771403704564</v>
      </c>
      <c r="Z112" s="17">
        <f t="shared" si="61"/>
        <v>0.9973560306985123</v>
      </c>
      <c r="AA112" s="17">
        <f t="shared" si="61"/>
        <v>0.9960366686692194</v>
      </c>
      <c r="AB112" s="17">
        <f t="shared" si="61"/>
        <v>0.9947190519706914</v>
      </c>
      <c r="AC112" s="17">
        <f t="shared" si="61"/>
        <v>0.9934031782941015</v>
      </c>
      <c r="AD112" s="17">
        <f t="shared" si="61"/>
        <v>0.992089045333676</v>
      </c>
      <c r="AE112" s="17">
        <f t="shared" si="61"/>
        <v>0.9907766507866917</v>
      </c>
      <c r="AF112" s="17">
        <f t="shared" si="61"/>
        <v>0.9894659923534714</v>
      </c>
    </row>
    <row r="113" spans="1:32" ht="11.25">
      <c r="A113" s="31" t="s">
        <v>43</v>
      </c>
      <c r="B113" s="31"/>
      <c r="G113">
        <f t="shared" si="54"/>
        <v>2024</v>
      </c>
      <c r="J113" s="16">
        <f t="shared" si="34"/>
        <v>1</v>
      </c>
      <c r="K113" s="16">
        <f t="shared" si="35"/>
        <v>1</v>
      </c>
      <c r="L113" s="17">
        <f t="shared" si="37"/>
        <v>1</v>
      </c>
      <c r="M113" s="17">
        <f t="shared" si="39"/>
        <v>1</v>
      </c>
      <c r="N113" s="17">
        <f t="shared" si="41"/>
        <v>1</v>
      </c>
      <c r="O113" s="17">
        <f t="shared" si="43"/>
        <v>1</v>
      </c>
      <c r="P113" s="17">
        <f t="shared" si="45"/>
        <v>1</v>
      </c>
      <c r="Q113" s="17">
        <f t="shared" si="46"/>
        <v>1</v>
      </c>
      <c r="R113" s="17">
        <f t="shared" si="55"/>
        <v>1</v>
      </c>
      <c r="S113" s="17">
        <f t="shared" si="56"/>
        <v>1</v>
      </c>
      <c r="T113" s="17">
        <f t="shared" si="57"/>
        <v>1</v>
      </c>
      <c r="U113" s="17">
        <f t="shared" si="58"/>
        <v>1</v>
      </c>
      <c r="V113" s="17">
        <f t="shared" si="52"/>
        <v>1</v>
      </c>
      <c r="W113" s="17">
        <f aca="true" t="shared" si="62" ref="W113:AF113">(1+$V$65)^(-W89)</f>
        <v>1</v>
      </c>
      <c r="X113" s="17">
        <f t="shared" si="62"/>
        <v>1</v>
      </c>
      <c r="Y113" s="17">
        <f t="shared" si="62"/>
        <v>1</v>
      </c>
      <c r="Z113" s="17">
        <f t="shared" si="62"/>
        <v>0.9986771403704564</v>
      </c>
      <c r="AA113" s="17">
        <f t="shared" si="62"/>
        <v>0.9973560306985123</v>
      </c>
      <c r="AB113" s="17">
        <f t="shared" si="62"/>
        <v>0.9960366686692194</v>
      </c>
      <c r="AC113" s="17">
        <f t="shared" si="62"/>
        <v>0.9947190519706914</v>
      </c>
      <c r="AD113" s="17">
        <f t="shared" si="62"/>
        <v>0.9934031782941015</v>
      </c>
      <c r="AE113" s="17">
        <f t="shared" si="62"/>
        <v>0.992089045333676</v>
      </c>
      <c r="AF113" s="17">
        <f t="shared" si="62"/>
        <v>0.9907766507866917</v>
      </c>
    </row>
    <row r="114" spans="1:32" ht="11.25">
      <c r="A114" s="31" t="s">
        <v>43</v>
      </c>
      <c r="B114" s="31"/>
      <c r="G114">
        <f t="shared" si="54"/>
        <v>2025</v>
      </c>
      <c r="J114" s="16">
        <f t="shared" si="34"/>
        <v>1</v>
      </c>
      <c r="K114" s="16">
        <f t="shared" si="35"/>
        <v>1</v>
      </c>
      <c r="L114" s="17">
        <f t="shared" si="37"/>
        <v>1</v>
      </c>
      <c r="M114" s="17">
        <f t="shared" si="39"/>
        <v>1</v>
      </c>
      <c r="N114" s="17">
        <f t="shared" si="41"/>
        <v>1</v>
      </c>
      <c r="O114" s="17">
        <f t="shared" si="43"/>
        <v>1</v>
      </c>
      <c r="P114" s="17">
        <f t="shared" si="45"/>
        <v>1</v>
      </c>
      <c r="Q114" s="17">
        <f t="shared" si="46"/>
        <v>1</v>
      </c>
      <c r="R114" s="17">
        <f t="shared" si="55"/>
        <v>1</v>
      </c>
      <c r="S114" s="17">
        <f t="shared" si="56"/>
        <v>1</v>
      </c>
      <c r="T114" s="17">
        <f t="shared" si="57"/>
        <v>1</v>
      </c>
      <c r="U114" s="17">
        <f t="shared" si="58"/>
        <v>1</v>
      </c>
      <c r="V114" s="17">
        <f t="shared" si="52"/>
        <v>1</v>
      </c>
      <c r="W114" s="17">
        <f aca="true" t="shared" si="63" ref="W114:AF114">(1+$V$65)^(-W90)</f>
        <v>1</v>
      </c>
      <c r="X114" s="17">
        <f t="shared" si="63"/>
        <v>1</v>
      </c>
      <c r="Y114" s="17">
        <f t="shared" si="63"/>
        <v>1</v>
      </c>
      <c r="Z114" s="17">
        <f t="shared" si="63"/>
        <v>1</v>
      </c>
      <c r="AA114" s="17">
        <f t="shared" si="63"/>
        <v>0.9986771403704564</v>
      </c>
      <c r="AB114" s="17">
        <f t="shared" si="63"/>
        <v>0.9973560306985123</v>
      </c>
      <c r="AC114" s="17">
        <f t="shared" si="63"/>
        <v>0.9960366686692194</v>
      </c>
      <c r="AD114" s="17">
        <f t="shared" si="63"/>
        <v>0.9947190519706914</v>
      </c>
      <c r="AE114" s="17">
        <f t="shared" si="63"/>
        <v>0.9934031782941015</v>
      </c>
      <c r="AF114" s="17">
        <f t="shared" si="63"/>
        <v>0.992089045333676</v>
      </c>
    </row>
    <row r="115" spans="1:32" ht="11.25">
      <c r="A115" s="31" t="s">
        <v>43</v>
      </c>
      <c r="B115" s="31"/>
      <c r="G115">
        <f t="shared" si="54"/>
        <v>2026</v>
      </c>
      <c r="J115" s="16">
        <f t="shared" si="34"/>
        <v>1</v>
      </c>
      <c r="K115" s="16">
        <f t="shared" si="35"/>
        <v>1</v>
      </c>
      <c r="L115" s="17">
        <f t="shared" si="37"/>
        <v>1</v>
      </c>
      <c r="M115" s="17">
        <f t="shared" si="39"/>
        <v>1</v>
      </c>
      <c r="N115" s="17">
        <f t="shared" si="41"/>
        <v>1</v>
      </c>
      <c r="O115" s="17">
        <f t="shared" si="43"/>
        <v>1</v>
      </c>
      <c r="P115" s="17">
        <f t="shared" si="45"/>
        <v>1</v>
      </c>
      <c r="Q115" s="17">
        <f t="shared" si="46"/>
        <v>1</v>
      </c>
      <c r="R115" s="17">
        <f t="shared" si="55"/>
        <v>1</v>
      </c>
      <c r="S115" s="17">
        <f t="shared" si="56"/>
        <v>1</v>
      </c>
      <c r="T115" s="17">
        <f t="shared" si="57"/>
        <v>1</v>
      </c>
      <c r="U115" s="17">
        <f t="shared" si="58"/>
        <v>1</v>
      </c>
      <c r="V115" s="17">
        <f t="shared" si="52"/>
        <v>1</v>
      </c>
      <c r="W115" s="17">
        <f aca="true" t="shared" si="64" ref="W115:AF115">(1+$V$65)^(-W91)</f>
        <v>1</v>
      </c>
      <c r="X115" s="17">
        <f t="shared" si="64"/>
        <v>1</v>
      </c>
      <c r="Y115" s="17">
        <f t="shared" si="64"/>
        <v>1</v>
      </c>
      <c r="Z115" s="17">
        <f t="shared" si="64"/>
        <v>1</v>
      </c>
      <c r="AA115" s="17">
        <f t="shared" si="64"/>
        <v>1</v>
      </c>
      <c r="AB115" s="17">
        <f t="shared" si="64"/>
        <v>0.9986771403704564</v>
      </c>
      <c r="AC115" s="17">
        <f t="shared" si="64"/>
        <v>0.9973560306985123</v>
      </c>
      <c r="AD115" s="17">
        <f t="shared" si="64"/>
        <v>0.9960366686692194</v>
      </c>
      <c r="AE115" s="17">
        <f t="shared" si="64"/>
        <v>0.9947190519706914</v>
      </c>
      <c r="AF115" s="17">
        <f t="shared" si="64"/>
        <v>0.9934031782941015</v>
      </c>
    </row>
    <row r="116" spans="1:32" ht="11.25">
      <c r="A116" s="31" t="s">
        <v>43</v>
      </c>
      <c r="B116" s="31"/>
      <c r="G116">
        <f t="shared" si="54"/>
        <v>2027</v>
      </c>
      <c r="J116" s="16">
        <f t="shared" si="34"/>
        <v>1</v>
      </c>
      <c r="K116" s="16">
        <f t="shared" si="35"/>
        <v>1</v>
      </c>
      <c r="L116" s="17">
        <f t="shared" si="37"/>
        <v>1</v>
      </c>
      <c r="M116" s="17">
        <f t="shared" si="39"/>
        <v>1</v>
      </c>
      <c r="N116" s="17">
        <f t="shared" si="41"/>
        <v>1</v>
      </c>
      <c r="O116" s="17">
        <f t="shared" si="43"/>
        <v>1</v>
      </c>
      <c r="P116" s="17">
        <f t="shared" si="45"/>
        <v>1</v>
      </c>
      <c r="Q116" s="17">
        <f t="shared" si="46"/>
        <v>1</v>
      </c>
      <c r="R116" s="17">
        <f t="shared" si="55"/>
        <v>1</v>
      </c>
      <c r="S116" s="17">
        <f t="shared" si="56"/>
        <v>1</v>
      </c>
      <c r="T116" s="17">
        <f t="shared" si="57"/>
        <v>1</v>
      </c>
      <c r="U116" s="17">
        <f t="shared" si="58"/>
        <v>1</v>
      </c>
      <c r="V116" s="17">
        <f t="shared" si="52"/>
        <v>1</v>
      </c>
      <c r="W116" s="17">
        <f aca="true" t="shared" si="65" ref="W116:AF116">(1+$V$65)^(-W92)</f>
        <v>1</v>
      </c>
      <c r="X116" s="17">
        <f t="shared" si="65"/>
        <v>1</v>
      </c>
      <c r="Y116" s="17">
        <f t="shared" si="65"/>
        <v>1</v>
      </c>
      <c r="Z116" s="17">
        <f t="shared" si="65"/>
        <v>1</v>
      </c>
      <c r="AA116" s="17">
        <f t="shared" si="65"/>
        <v>1</v>
      </c>
      <c r="AB116" s="17">
        <f t="shared" si="65"/>
        <v>1</v>
      </c>
      <c r="AC116" s="17">
        <f t="shared" si="65"/>
        <v>0.9986771403704564</v>
      </c>
      <c r="AD116" s="17">
        <f t="shared" si="65"/>
        <v>0.9973560306985123</v>
      </c>
      <c r="AE116" s="17">
        <f t="shared" si="65"/>
        <v>0.9960366686692194</v>
      </c>
      <c r="AF116" s="17">
        <f t="shared" si="65"/>
        <v>0.9947190519706914</v>
      </c>
    </row>
    <row r="117" spans="1:32" ht="11.25">
      <c r="A117" s="31" t="s">
        <v>43</v>
      </c>
      <c r="B117" s="31"/>
      <c r="G117">
        <f t="shared" si="54"/>
        <v>2028</v>
      </c>
      <c r="J117" s="16">
        <f t="shared" si="34"/>
        <v>1</v>
      </c>
      <c r="K117" s="16">
        <f t="shared" si="35"/>
        <v>1</v>
      </c>
      <c r="L117" s="17">
        <f t="shared" si="37"/>
        <v>1</v>
      </c>
      <c r="M117" s="17">
        <f t="shared" si="39"/>
        <v>1</v>
      </c>
      <c r="N117" s="17">
        <f t="shared" si="41"/>
        <v>1</v>
      </c>
      <c r="O117" s="17">
        <f t="shared" si="43"/>
        <v>1</v>
      </c>
      <c r="P117" s="17">
        <f t="shared" si="45"/>
        <v>1</v>
      </c>
      <c r="Q117" s="17">
        <f t="shared" si="46"/>
        <v>1</v>
      </c>
      <c r="R117" s="17">
        <f t="shared" si="55"/>
        <v>1</v>
      </c>
      <c r="S117" s="17">
        <f t="shared" si="56"/>
        <v>1</v>
      </c>
      <c r="T117" s="17">
        <f t="shared" si="57"/>
        <v>1</v>
      </c>
      <c r="U117" s="17">
        <f t="shared" si="58"/>
        <v>1</v>
      </c>
      <c r="V117" s="17">
        <f t="shared" si="52"/>
        <v>1</v>
      </c>
      <c r="W117" s="17">
        <f aca="true" t="shared" si="66" ref="W117:AF117">(1+$V$65)^(-W93)</f>
        <v>1</v>
      </c>
      <c r="X117" s="17">
        <f t="shared" si="66"/>
        <v>1</v>
      </c>
      <c r="Y117" s="17">
        <f t="shared" si="66"/>
        <v>1</v>
      </c>
      <c r="Z117" s="17">
        <f t="shared" si="66"/>
        <v>1</v>
      </c>
      <c r="AA117" s="17">
        <f t="shared" si="66"/>
        <v>1</v>
      </c>
      <c r="AB117" s="17">
        <f t="shared" si="66"/>
        <v>1</v>
      </c>
      <c r="AC117" s="17">
        <f t="shared" si="66"/>
        <v>1</v>
      </c>
      <c r="AD117" s="17">
        <f t="shared" si="66"/>
        <v>0.9986771403704564</v>
      </c>
      <c r="AE117" s="17">
        <f t="shared" si="66"/>
        <v>0.9973560306985123</v>
      </c>
      <c r="AF117" s="17">
        <f t="shared" si="66"/>
        <v>0.9960366686692194</v>
      </c>
    </row>
    <row r="118" spans="1:32" ht="11.25">
      <c r="A118" s="31" t="s">
        <v>43</v>
      </c>
      <c r="B118" s="31"/>
      <c r="G118">
        <f t="shared" si="54"/>
        <v>2029</v>
      </c>
      <c r="J118" s="16">
        <f t="shared" si="34"/>
        <v>1</v>
      </c>
      <c r="K118" s="16">
        <f t="shared" si="35"/>
        <v>1</v>
      </c>
      <c r="L118" s="17">
        <f t="shared" si="37"/>
        <v>1</v>
      </c>
      <c r="M118" s="17">
        <f t="shared" si="39"/>
        <v>1</v>
      </c>
      <c r="N118" s="17">
        <f t="shared" si="41"/>
        <v>1</v>
      </c>
      <c r="O118" s="17">
        <f t="shared" si="43"/>
        <v>1</v>
      </c>
      <c r="P118" s="17">
        <f t="shared" si="45"/>
        <v>1</v>
      </c>
      <c r="Q118" s="17">
        <f t="shared" si="46"/>
        <v>1</v>
      </c>
      <c r="R118" s="17">
        <f t="shared" si="55"/>
        <v>1</v>
      </c>
      <c r="S118" s="17">
        <f t="shared" si="56"/>
        <v>1</v>
      </c>
      <c r="T118" s="17">
        <f t="shared" si="57"/>
        <v>1</v>
      </c>
      <c r="U118" s="17">
        <f t="shared" si="58"/>
        <v>1</v>
      </c>
      <c r="V118" s="17">
        <f aca="true" t="shared" si="67" ref="V118:AF118">(1+$V$65)^(-V94)</f>
        <v>1</v>
      </c>
      <c r="W118" s="17">
        <f t="shared" si="67"/>
        <v>1</v>
      </c>
      <c r="X118" s="17">
        <f t="shared" si="67"/>
        <v>1</v>
      </c>
      <c r="Y118" s="17">
        <f t="shared" si="67"/>
        <v>1</v>
      </c>
      <c r="Z118" s="17">
        <f t="shared" si="67"/>
        <v>1</v>
      </c>
      <c r="AA118" s="17">
        <f t="shared" si="67"/>
        <v>1</v>
      </c>
      <c r="AB118" s="17">
        <f t="shared" si="67"/>
        <v>1</v>
      </c>
      <c r="AC118" s="17">
        <f t="shared" si="67"/>
        <v>1</v>
      </c>
      <c r="AD118" s="17">
        <f t="shared" si="67"/>
        <v>1</v>
      </c>
      <c r="AE118" s="17">
        <f t="shared" si="67"/>
        <v>0.9986771403704564</v>
      </c>
      <c r="AF118" s="17">
        <f t="shared" si="67"/>
        <v>0.9973560306985123</v>
      </c>
    </row>
    <row r="119" spans="1:32" ht="11.25">
      <c r="A119" s="31" t="s">
        <v>43</v>
      </c>
      <c r="B119" s="31"/>
      <c r="G119">
        <f t="shared" si="54"/>
        <v>2030</v>
      </c>
      <c r="J119" s="16">
        <f t="shared" si="34"/>
        <v>1</v>
      </c>
      <c r="K119" s="16">
        <f t="shared" si="35"/>
        <v>1</v>
      </c>
      <c r="L119" s="17">
        <f t="shared" si="37"/>
        <v>1</v>
      </c>
      <c r="M119" s="17">
        <f t="shared" si="39"/>
        <v>1</v>
      </c>
      <c r="N119" s="17">
        <f t="shared" si="41"/>
        <v>1</v>
      </c>
      <c r="O119" s="17">
        <f t="shared" si="43"/>
        <v>1</v>
      </c>
      <c r="P119" s="17">
        <f t="shared" si="45"/>
        <v>1</v>
      </c>
      <c r="Q119" s="17">
        <f t="shared" si="46"/>
        <v>1</v>
      </c>
      <c r="R119" s="17">
        <f t="shared" si="55"/>
        <v>1</v>
      </c>
      <c r="S119" s="17">
        <f t="shared" si="56"/>
        <v>1</v>
      </c>
      <c r="T119" s="17">
        <f t="shared" si="57"/>
        <v>1</v>
      </c>
      <c r="U119" s="17">
        <f t="shared" si="58"/>
        <v>1</v>
      </c>
      <c r="V119" s="17">
        <f aca="true" t="shared" si="68" ref="V119:AF119">(1+$V$65)^(-V95)</f>
        <v>1</v>
      </c>
      <c r="W119" s="17">
        <f t="shared" si="68"/>
        <v>1</v>
      </c>
      <c r="X119" s="17">
        <f t="shared" si="68"/>
        <v>1</v>
      </c>
      <c r="Y119" s="17">
        <f t="shared" si="68"/>
        <v>1</v>
      </c>
      <c r="Z119" s="17">
        <f t="shared" si="68"/>
        <v>1</v>
      </c>
      <c r="AA119" s="17">
        <f t="shared" si="68"/>
        <v>1</v>
      </c>
      <c r="AB119" s="17">
        <f t="shared" si="68"/>
        <v>1</v>
      </c>
      <c r="AC119" s="17">
        <f t="shared" si="68"/>
        <v>1</v>
      </c>
      <c r="AD119" s="17">
        <f t="shared" si="68"/>
        <v>1</v>
      </c>
      <c r="AE119" s="17">
        <f t="shared" si="68"/>
        <v>1</v>
      </c>
      <c r="AF119" s="17">
        <f t="shared" si="68"/>
        <v>0.9986771403704564</v>
      </c>
    </row>
    <row r="121" spans="1:32" ht="11.25">
      <c r="A121" t="s">
        <v>38</v>
      </c>
      <c r="J121" s="16">
        <f aca="true" t="shared" si="69" ref="J121:AF121">1-J97*J98*J99*J100*J101*J102*J103*J104*J105*J106*J107*J108*J109</f>
        <v>0.0047291191795034715</v>
      </c>
      <c r="K121" s="16">
        <f t="shared" si="69"/>
        <v>0.013568780296015381</v>
      </c>
      <c r="L121" s="16">
        <f t="shared" si="69"/>
        <v>0.02595139531166324</v>
      </c>
      <c r="M121" s="16">
        <f t="shared" si="69"/>
        <v>0.04135774382530755</v>
      </c>
      <c r="N121" s="16">
        <f t="shared" si="69"/>
        <v>0.05931470119318927</v>
      </c>
      <c r="O121" s="16">
        <f t="shared" si="69"/>
        <v>0.07939304158471805</v>
      </c>
      <c r="P121" s="16">
        <f t="shared" si="69"/>
        <v>0.10120519828076713</v>
      </c>
      <c r="Q121" s="16">
        <f t="shared" si="69"/>
        <v>0.12440294522948914</v>
      </c>
      <c r="R121" s="16">
        <f t="shared" si="69"/>
        <v>0.1486750051767075</v>
      </c>
      <c r="S121" s="16">
        <f t="shared" si="69"/>
        <v>0.17374460892178045</v>
      </c>
      <c r="T121" s="16">
        <f t="shared" si="69"/>
        <v>0.195562757791517</v>
      </c>
      <c r="U121" s="16">
        <f t="shared" si="69"/>
        <v>0.21467122514081793</v>
      </c>
      <c r="V121" s="16">
        <f t="shared" si="69"/>
        <v>0.23149330928737277</v>
      </c>
      <c r="W121" s="16">
        <f t="shared" si="69"/>
        <v>0.24546102967930672</v>
      </c>
      <c r="X121" s="16">
        <f t="shared" si="69"/>
        <v>0.25697427745313084</v>
      </c>
      <c r="Y121" s="16">
        <f t="shared" si="69"/>
        <v>0.2663584589902295</v>
      </c>
      <c r="Z121" s="16">
        <f t="shared" si="69"/>
        <v>0.27388137311490535</v>
      </c>
      <c r="AA121" s="16">
        <f t="shared" si="69"/>
        <v>0.2797657007210167</v>
      </c>
      <c r="AB121" s="16">
        <f t="shared" si="69"/>
        <v>0.2841983924846111</v>
      </c>
      <c r="AC121" s="16">
        <f t="shared" si="69"/>
        <v>0.2873378237538654</v>
      </c>
      <c r="AD121" s="16">
        <f t="shared" si="69"/>
        <v>0.28931931614050244</v>
      </c>
      <c r="AE121" s="16">
        <f t="shared" si="69"/>
        <v>0.2902594469266766</v>
      </c>
      <c r="AF121" s="16">
        <f t="shared" si="69"/>
        <v>0.2902594469266766</v>
      </c>
    </row>
    <row r="122" spans="10:32" ht="11.25">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row>
    <row r="124" spans="1:3" ht="12">
      <c r="A124" s="9" t="s">
        <v>76</v>
      </c>
      <c r="C124" t="s">
        <v>12</v>
      </c>
    </row>
    <row r="126" spans="1:7" ht="11.25">
      <c r="A126" s="155" t="s">
        <v>13</v>
      </c>
      <c r="B126" s="155"/>
      <c r="C126" s="155"/>
      <c r="D126" s="155"/>
      <c r="E126" s="155"/>
      <c r="F126" s="155"/>
      <c r="G126" s="155"/>
    </row>
    <row r="127" spans="1:7" ht="11.25">
      <c r="A127" s="155"/>
      <c r="B127" s="155"/>
      <c r="C127" s="155"/>
      <c r="D127" s="155"/>
      <c r="E127" s="155"/>
      <c r="F127" s="155"/>
      <c r="G127" s="155"/>
    </row>
    <row r="129" spans="1:6" ht="11.25">
      <c r="A129" s="14" t="s">
        <v>79</v>
      </c>
      <c r="E129" s="13"/>
      <c r="F129" s="13">
        <v>2020</v>
      </c>
    </row>
    <row r="131" spans="1:6" ht="11.25">
      <c r="A131" t="s">
        <v>77</v>
      </c>
      <c r="F131" s="52">
        <f>V26</f>
        <v>4775.547441685062</v>
      </c>
    </row>
    <row r="132" spans="1:6" ht="11.25">
      <c r="A132" t="s">
        <v>78</v>
      </c>
      <c r="F132" s="52">
        <f>V58</f>
        <v>3670.04016075054</v>
      </c>
    </row>
    <row r="133" spans="1:9" s="14" customFormat="1" ht="9.75">
      <c r="A133" s="14" t="s">
        <v>148</v>
      </c>
      <c r="F133" s="53">
        <f>F132/F131</f>
        <v>0.7685066907126272</v>
      </c>
      <c r="I133" s="79"/>
    </row>
    <row r="135" spans="1:6" ht="11.25">
      <c r="A135" t="s">
        <v>80</v>
      </c>
      <c r="F135" s="24">
        <f>V36</f>
        <v>1.273</v>
      </c>
    </row>
    <row r="136" spans="1:6" ht="11.25">
      <c r="A136" t="s">
        <v>82</v>
      </c>
      <c r="F136" s="24">
        <f>V50</f>
        <v>0.8567634857807765</v>
      </c>
    </row>
    <row r="137" spans="1:9" s="14" customFormat="1" ht="9.75">
      <c r="A137" s="14" t="s">
        <v>148</v>
      </c>
      <c r="F137" s="53">
        <f>F136/F135</f>
        <v>0.6730270901655747</v>
      </c>
      <c r="I137" s="79"/>
    </row>
    <row r="138" ht="11.25">
      <c r="F138" s="24"/>
    </row>
    <row r="139" spans="1:6" ht="11.25">
      <c r="A139" s="3" t="s">
        <v>84</v>
      </c>
      <c r="F139" s="24"/>
    </row>
    <row r="140" spans="1:6" ht="11.25">
      <c r="A140" t="s">
        <v>81</v>
      </c>
      <c r="F140" s="24">
        <f>V42</f>
        <v>2925.3888508651603</v>
      </c>
    </row>
    <row r="141" spans="1:6" ht="11.25">
      <c r="A141" t="s">
        <v>83</v>
      </c>
      <c r="F141" s="24">
        <f>V60</f>
        <v>1513.0866525408514</v>
      </c>
    </row>
    <row r="142" spans="1:9" s="14" customFormat="1" ht="11.25">
      <c r="A142" s="14" t="s">
        <v>148</v>
      </c>
      <c r="F142" s="102">
        <f>F141/F140</f>
        <v>0.5172258218230948</v>
      </c>
      <c r="G142"/>
      <c r="H142"/>
      <c r="I142" s="33"/>
    </row>
    <row r="143" spans="6:9" s="14" customFormat="1" ht="11.25">
      <c r="F143" s="53"/>
      <c r="G143"/>
      <c r="H143"/>
      <c r="I143" s="33"/>
    </row>
    <row r="144" spans="1:9" s="14" customFormat="1" ht="11.25">
      <c r="A144" s="14" t="s">
        <v>147</v>
      </c>
      <c r="F144" s="102">
        <f>F137*F133</f>
        <v>0.5172258218230948</v>
      </c>
      <c r="G144"/>
      <c r="H144"/>
      <c r="I144" s="33"/>
    </row>
    <row r="145" ht="11.25">
      <c r="F145" s="24"/>
    </row>
    <row r="146" spans="1:6" ht="11.25">
      <c r="A146" t="s">
        <v>85</v>
      </c>
      <c r="F146" s="24"/>
    </row>
    <row r="147" spans="1:6" ht="11.25">
      <c r="A147" t="s">
        <v>86</v>
      </c>
      <c r="F147" s="7">
        <f>(1-F133)/(1-F137)</f>
        <v>0.7079892624884364</v>
      </c>
    </row>
    <row r="149" spans="1:6" ht="12">
      <c r="A149" s="54" t="s">
        <v>87</v>
      </c>
      <c r="B149" s="55"/>
      <c r="C149" s="55"/>
      <c r="D149" s="55"/>
      <c r="E149" s="55"/>
      <c r="F149" s="148">
        <f>F147/(1+F147)</f>
        <v>0.41451622562131285</v>
      </c>
    </row>
    <row r="150" spans="1:6" ht="12">
      <c r="A150" s="57" t="s">
        <v>88</v>
      </c>
      <c r="B150" s="58"/>
      <c r="C150" s="58"/>
      <c r="D150" s="58"/>
      <c r="E150" s="58"/>
      <c r="F150" s="59">
        <f>1-F149</f>
        <v>0.5854837743786871</v>
      </c>
    </row>
  </sheetData>
  <mergeCells count="5">
    <mergeCell ref="A3:E5"/>
    <mergeCell ref="A68:K69"/>
    <mergeCell ref="L68:V71"/>
    <mergeCell ref="A126:G127"/>
    <mergeCell ref="A46:L47"/>
  </mergeCells>
  <printOptions gridLines="1"/>
  <pageMargins left="0.5" right="0.5" top="0.52"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G150"/>
  <sheetViews>
    <sheetView workbookViewId="0" topLeftCell="A1">
      <selection activeCell="A13" sqref="A13"/>
    </sheetView>
  </sheetViews>
  <sheetFormatPr defaultColWidth="9.140625" defaultRowHeight="12"/>
  <cols>
    <col min="7" max="7" width="12.140625" style="0" customWidth="1"/>
    <col min="9" max="9" width="8.8515625" style="33" customWidth="1"/>
    <col min="10" max="10" width="8.8515625" style="0" customWidth="1"/>
    <col min="16" max="32" width="9.421875" style="0" customWidth="1"/>
  </cols>
  <sheetData>
    <row r="1" spans="1:3" ht="12.75">
      <c r="A1" s="1" t="s">
        <v>32</v>
      </c>
      <c r="C1" t="s">
        <v>154</v>
      </c>
    </row>
    <row r="2" ht="12.75">
      <c r="A2" s="1"/>
    </row>
    <row r="3" spans="1:10" ht="11.25">
      <c r="A3" s="155" t="s">
        <v>3</v>
      </c>
      <c r="B3" s="155"/>
      <c r="C3" s="155"/>
      <c r="D3" s="155"/>
      <c r="E3" s="155"/>
      <c r="G3" s="80" t="s">
        <v>34</v>
      </c>
      <c r="I3" s="80" t="s">
        <v>130</v>
      </c>
      <c r="J3" s="86" t="s">
        <v>133</v>
      </c>
    </row>
    <row r="4" spans="1:10" ht="11.25">
      <c r="A4" s="155"/>
      <c r="B4" s="155"/>
      <c r="C4" s="155"/>
      <c r="D4" s="155"/>
      <c r="E4" s="155"/>
      <c r="G4" s="81" t="s">
        <v>96</v>
      </c>
      <c r="I4" s="81" t="s">
        <v>131</v>
      </c>
      <c r="J4" s="66" t="s">
        <v>134</v>
      </c>
    </row>
    <row r="5" spans="1:10" ht="11.25">
      <c r="A5" s="155"/>
      <c r="B5" s="155"/>
      <c r="C5" s="155"/>
      <c r="D5" s="155"/>
      <c r="E5" s="155"/>
      <c r="G5" s="81" t="s">
        <v>97</v>
      </c>
      <c r="I5" s="81" t="s">
        <v>132</v>
      </c>
      <c r="J5" s="66" t="s">
        <v>135</v>
      </c>
    </row>
    <row r="6" spans="1:10" ht="12.75">
      <c r="A6" s="1"/>
      <c r="G6" s="81" t="s">
        <v>143</v>
      </c>
      <c r="I6" s="82" t="s">
        <v>142</v>
      </c>
      <c r="J6" s="87" t="s">
        <v>136</v>
      </c>
    </row>
    <row r="7" spans="7:32" ht="11.25">
      <c r="G7" s="96" t="s">
        <v>144</v>
      </c>
      <c r="H7" s="13"/>
      <c r="I7" s="93">
        <v>2007</v>
      </c>
      <c r="J7" s="94">
        <f>Summary!J65</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7:32" ht="11.25">
      <c r="G8" s="95"/>
      <c r="H8" s="13"/>
      <c r="I8" s="93"/>
      <c r="J8" s="94"/>
      <c r="K8" s="13"/>
      <c r="L8" s="13"/>
      <c r="M8" s="13"/>
      <c r="N8" s="13"/>
      <c r="O8" s="13"/>
      <c r="P8" s="13"/>
      <c r="Q8" s="13"/>
      <c r="R8" s="13"/>
      <c r="S8" s="13"/>
      <c r="T8" s="13"/>
      <c r="U8" s="13"/>
      <c r="V8" s="13"/>
      <c r="W8" s="13"/>
      <c r="X8" s="13"/>
      <c r="Y8" s="13"/>
      <c r="Z8" s="13"/>
      <c r="AA8" s="13"/>
      <c r="AB8" s="13"/>
      <c r="AC8" s="13"/>
      <c r="AD8" s="13"/>
      <c r="AE8" s="13"/>
      <c r="AF8" s="13"/>
    </row>
    <row r="9" ht="12">
      <c r="A9" s="97" t="s">
        <v>145</v>
      </c>
    </row>
    <row r="10" ht="12">
      <c r="A10" s="106" t="s">
        <v>146</v>
      </c>
    </row>
    <row r="12" spans="1:7" ht="11.25">
      <c r="A12" s="97" t="s">
        <v>269</v>
      </c>
      <c r="G12" s="144">
        <f>MAX(Summary!H53,0.001)</f>
        <v>10</v>
      </c>
    </row>
    <row r="13" spans="1:7" ht="11.25">
      <c r="A13" s="3" t="s">
        <v>301</v>
      </c>
      <c r="G13" s="144"/>
    </row>
    <row r="14" spans="1:32" ht="11.25">
      <c r="A14" t="s">
        <v>129</v>
      </c>
      <c r="G14" s="2"/>
      <c r="I14" s="68" t="s">
        <v>141</v>
      </c>
      <c r="J14" s="62" t="str">
        <f>IF(J$7&gt;=$I$7,"YES","NO")</f>
        <v>YES</v>
      </c>
      <c r="K14" s="62" t="str">
        <f aca="true" t="shared" si="1" ref="K14:AF14">IF(K$7&gt;=$I$7,"YES","NO")</f>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8" t="s">
        <v>141</v>
      </c>
      <c r="J15" s="62" t="str">
        <f>IF(J$7&gt;Summary!$H62,"YES","NO")</f>
        <v>NO</v>
      </c>
      <c r="K15" s="62" t="str">
        <f>IF(K$7&gt;Summary!$H62,"YES","NO")</f>
        <v>NO</v>
      </c>
      <c r="L15" s="62" t="str">
        <f>IF(L$7&gt;Summary!$H62,"YES","NO")</f>
        <v>NO</v>
      </c>
      <c r="M15" s="62" t="str">
        <f>IF(M$7&gt;Summary!$H62,"YES","NO")</f>
        <v>NO</v>
      </c>
      <c r="N15" s="62" t="str">
        <f>IF(N$7&gt;Summary!$H62,"YES","NO")</f>
        <v>NO</v>
      </c>
      <c r="O15" s="62" t="str">
        <f>IF(O$7&gt;Summary!$H62,"YES","NO")</f>
        <v>NO</v>
      </c>
      <c r="P15" s="62" t="str">
        <f>IF(P$7&gt;Summary!$H62,"YES","NO")</f>
        <v>NO</v>
      </c>
      <c r="Q15" s="62" t="str">
        <f>IF(Q$7&gt;Summary!$H62,"YES","NO")</f>
        <v>NO</v>
      </c>
      <c r="R15" s="62" t="str">
        <f>IF(R$7&gt;Summary!$H62,"YES","NO")</f>
        <v>NO</v>
      </c>
      <c r="S15" s="62" t="str">
        <f>IF(S$7&gt;Summary!$H62,"YES","NO")</f>
        <v>NO</v>
      </c>
      <c r="T15" s="62" t="str">
        <f>IF(T$7&gt;Summary!$H62,"YES","NO")</f>
        <v>NO</v>
      </c>
      <c r="U15" s="62" t="str">
        <f>IF(U$7&gt;Summary!$H62,"YES","NO")</f>
        <v>NO</v>
      </c>
      <c r="V15" s="62" t="str">
        <f>IF(V$7&gt;Summary!$H62,"YES","NO")</f>
        <v>NO</v>
      </c>
      <c r="W15" s="62" t="str">
        <f>IF(W$7&gt;Summary!$H62,"YES","NO")</f>
        <v>NO</v>
      </c>
      <c r="X15" s="62" t="str">
        <f>IF(X$7&gt;Summary!$H62,"YES","NO")</f>
        <v>NO</v>
      </c>
      <c r="Y15" s="62" t="str">
        <f>IF(Y$7&gt;Summary!$H62,"YES","NO")</f>
        <v>NO</v>
      </c>
      <c r="Z15" s="62" t="str">
        <f>IF(Z$7&gt;Summary!$H62,"YES","NO")</f>
        <v>NO</v>
      </c>
      <c r="AA15" s="62" t="str">
        <f>IF(AA$7&gt;Summary!$H62,"YES","NO")</f>
        <v>NO</v>
      </c>
      <c r="AB15" s="62" t="str">
        <f>IF(AB$7&gt;Summary!$H62,"YES","NO")</f>
        <v>NO</v>
      </c>
      <c r="AC15" s="62" t="str">
        <f>IF(AC$7&gt;Summary!$H62,"YES","NO")</f>
        <v>NO</v>
      </c>
      <c r="AD15" s="62" t="str">
        <f>IF(AD$7&gt;Summary!$H62,"YES","NO")</f>
        <v>NO</v>
      </c>
      <c r="AE15" s="62" t="str">
        <f>IF(AE$7&gt;Summary!$H62,"YES","NO")</f>
        <v>NO</v>
      </c>
      <c r="AF15" s="62" t="str">
        <f>IF(AF$7&gt;Summary!$H62,"YES","NO")</f>
        <v>NO</v>
      </c>
    </row>
    <row r="16" spans="1:32" ht="11.25">
      <c r="A16" t="s">
        <v>137</v>
      </c>
      <c r="I16" s="33">
        <f>IF(I14="NO",0,(IF(I14="YES",H16+1,3)))</f>
        <v>0</v>
      </c>
      <c r="J16">
        <f aca="true" t="shared" si="2" ref="J16:W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aca="true" t="shared" si="3" ref="X16:AF16">IF(X14="NO",0,(IF(AND(X14="YES",X15="NO"),W16+1,W16)))</f>
        <v>15</v>
      </c>
      <c r="Y16">
        <f t="shared" si="3"/>
        <v>16</v>
      </c>
      <c r="Z16">
        <f t="shared" si="3"/>
        <v>17</v>
      </c>
      <c r="AA16">
        <f t="shared" si="3"/>
        <v>18</v>
      </c>
      <c r="AB16">
        <f t="shared" si="3"/>
        <v>19</v>
      </c>
      <c r="AC16">
        <f t="shared" si="3"/>
        <v>20</v>
      </c>
      <c r="AD16">
        <f t="shared" si="3"/>
        <v>21</v>
      </c>
      <c r="AE16">
        <f t="shared" si="3"/>
        <v>22</v>
      </c>
      <c r="AF16">
        <f t="shared" si="3"/>
        <v>23</v>
      </c>
    </row>
    <row r="17" spans="1:32" s="111" customFormat="1" ht="11.25">
      <c r="A17" s="111" t="s">
        <v>22</v>
      </c>
      <c r="G17" s="119"/>
      <c r="I17" s="113">
        <f>I16*$G$12</f>
        <v>0</v>
      </c>
      <c r="J17" s="143">
        <f aca="true" t="shared" si="4" ref="J17:AF17">J16*$G$12*$G$19/2000</f>
        <v>11.025</v>
      </c>
      <c r="K17" s="143">
        <f t="shared" si="4"/>
        <v>22.05</v>
      </c>
      <c r="L17" s="143">
        <f t="shared" si="4"/>
        <v>33.075</v>
      </c>
      <c r="M17" s="143">
        <f t="shared" si="4"/>
        <v>44.1</v>
      </c>
      <c r="N17" s="143">
        <f t="shared" si="4"/>
        <v>55.125</v>
      </c>
      <c r="O17" s="143">
        <f t="shared" si="4"/>
        <v>66.15</v>
      </c>
      <c r="P17" s="143">
        <f t="shared" si="4"/>
        <v>77.175</v>
      </c>
      <c r="Q17" s="143">
        <f t="shared" si="4"/>
        <v>88.2</v>
      </c>
      <c r="R17" s="143">
        <f t="shared" si="4"/>
        <v>99.225</v>
      </c>
      <c r="S17" s="143">
        <f t="shared" si="4"/>
        <v>110.25</v>
      </c>
      <c r="T17" s="143">
        <f t="shared" si="4"/>
        <v>121.275</v>
      </c>
      <c r="U17" s="143">
        <f t="shared" si="4"/>
        <v>132.3</v>
      </c>
      <c r="V17" s="143">
        <f t="shared" si="4"/>
        <v>143.325</v>
      </c>
      <c r="W17" s="143">
        <f t="shared" si="4"/>
        <v>154.35</v>
      </c>
      <c r="X17" s="143">
        <f t="shared" si="4"/>
        <v>165.375</v>
      </c>
      <c r="Y17" s="143">
        <f t="shared" si="4"/>
        <v>176.4</v>
      </c>
      <c r="Z17" s="143">
        <f t="shared" si="4"/>
        <v>187.425</v>
      </c>
      <c r="AA17" s="143">
        <f t="shared" si="4"/>
        <v>198.45</v>
      </c>
      <c r="AB17" s="143">
        <f t="shared" si="4"/>
        <v>209.475</v>
      </c>
      <c r="AC17" s="143">
        <f t="shared" si="4"/>
        <v>220.5</v>
      </c>
      <c r="AD17" s="143">
        <f t="shared" si="4"/>
        <v>231.525</v>
      </c>
      <c r="AE17" s="143">
        <f t="shared" si="4"/>
        <v>242.55</v>
      </c>
      <c r="AF17" s="143">
        <f t="shared" si="4"/>
        <v>253.575</v>
      </c>
    </row>
    <row r="18" spans="1:8" ht="11.25">
      <c r="A18" t="s">
        <v>42</v>
      </c>
      <c r="G18" s="23">
        <f>44/12</f>
        <v>3.6666666666666665</v>
      </c>
      <c r="H18" s="39"/>
    </row>
    <row r="19" spans="1:7" ht="11.25">
      <c r="A19" t="s">
        <v>35</v>
      </c>
      <c r="G19" s="20">
        <v>2205</v>
      </c>
    </row>
    <row r="21" spans="1:7" ht="12.75">
      <c r="A21" t="s">
        <v>48</v>
      </c>
      <c r="G21">
        <v>42.8</v>
      </c>
    </row>
    <row r="22" ht="11.25">
      <c r="A22" s="34" t="s">
        <v>49</v>
      </c>
    </row>
    <row r="23" spans="1:7" ht="11.25">
      <c r="A23" t="s">
        <v>50</v>
      </c>
      <c r="G23">
        <v>5.253</v>
      </c>
    </row>
    <row r="24" ht="11.25">
      <c r="A24" s="34" t="s">
        <v>49</v>
      </c>
    </row>
    <row r="25" spans="1:7" ht="11.25">
      <c r="A25" t="s">
        <v>51</v>
      </c>
      <c r="G25" s="25">
        <f>G23*1000000/42</f>
        <v>125071.42857142857</v>
      </c>
    </row>
    <row r="26" spans="1:7" ht="12">
      <c r="A26" s="9" t="s">
        <v>52</v>
      </c>
      <c r="G26" s="35">
        <f>G21*G25/1000000</f>
        <v>5.353057142857142</v>
      </c>
    </row>
    <row r="27" spans="1:32" ht="12">
      <c r="A27" s="9" t="s">
        <v>53</v>
      </c>
      <c r="G27" s="23">
        <f>G26*G18</f>
        <v>19.627876190476186</v>
      </c>
      <c r="H27" s="35"/>
      <c r="J27" s="24"/>
      <c r="K27" s="7"/>
      <c r="L27" s="7"/>
      <c r="M27" s="7"/>
      <c r="N27" s="7"/>
      <c r="O27" s="7"/>
      <c r="P27" s="7"/>
      <c r="Q27" s="7"/>
      <c r="R27" s="7"/>
      <c r="S27" s="7"/>
      <c r="T27" s="7"/>
      <c r="U27" s="7"/>
      <c r="V27" s="7"/>
      <c r="W27" s="7"/>
      <c r="X27" s="7"/>
      <c r="Y27" s="7"/>
      <c r="Z27" s="7"/>
      <c r="AA27" s="7"/>
      <c r="AB27" s="7"/>
      <c r="AC27" s="7"/>
      <c r="AD27" s="7"/>
      <c r="AE27" s="7"/>
      <c r="AF27" s="7"/>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10" ht="11.25">
      <c r="A29" s="97" t="s">
        <v>170</v>
      </c>
      <c r="H29" s="97">
        <f>Summary!H59</f>
        <v>10</v>
      </c>
      <c r="I29" s="97" t="s">
        <v>128</v>
      </c>
      <c r="J29" s="126"/>
    </row>
    <row r="30" spans="1:32" ht="12">
      <c r="A30" s="9"/>
      <c r="G30" s="23"/>
      <c r="H30" s="35"/>
      <c r="J30" s="24"/>
      <c r="K30" s="7"/>
      <c r="L30" s="7"/>
      <c r="M30" s="7"/>
      <c r="N30" s="7"/>
      <c r="O30" s="7"/>
      <c r="P30" s="7"/>
      <c r="Q30" s="7"/>
      <c r="R30" s="7"/>
      <c r="S30" s="7"/>
      <c r="T30" s="7"/>
      <c r="U30" s="7"/>
      <c r="V30" s="7"/>
      <c r="W30" s="7"/>
      <c r="X30" s="7"/>
      <c r="Y30" s="7"/>
      <c r="Z30" s="7"/>
      <c r="AA30" s="7"/>
      <c r="AB30" s="7"/>
      <c r="AC30" s="7"/>
      <c r="AD30" s="7"/>
      <c r="AE30" s="7"/>
      <c r="AF30" s="7"/>
    </row>
    <row r="31" spans="1:32" ht="12">
      <c r="A31" s="9"/>
      <c r="G31" s="23"/>
      <c r="H31" s="35"/>
      <c r="N31" s="7"/>
      <c r="O31" s="7"/>
      <c r="P31" s="7"/>
      <c r="Q31" s="7"/>
      <c r="R31" s="7"/>
      <c r="S31" s="7"/>
      <c r="T31" s="7"/>
      <c r="U31" s="7"/>
      <c r="V31" s="7"/>
      <c r="W31" s="7"/>
      <c r="X31" s="7"/>
      <c r="Y31" s="7"/>
      <c r="Z31" s="7"/>
      <c r="AA31" s="7"/>
      <c r="AB31" s="7"/>
      <c r="AC31" s="7"/>
      <c r="AD31" s="7"/>
      <c r="AE31" s="7"/>
      <c r="AF31" s="7"/>
    </row>
    <row r="32" spans="1:7" ht="11.25">
      <c r="A32" t="s">
        <v>171</v>
      </c>
      <c r="G32" s="122">
        <f>9232.661*365</f>
        <v>3369921.265</v>
      </c>
    </row>
    <row r="33" spans="1:18" ht="11.25">
      <c r="A33" s="3" t="s">
        <v>172</v>
      </c>
      <c r="R33" s="4"/>
    </row>
    <row r="34" spans="1:18" ht="11.25">
      <c r="A34" t="s">
        <v>173</v>
      </c>
      <c r="G34" s="25">
        <f>G32*42/1000</f>
        <v>141536.69313</v>
      </c>
      <c r="R34" s="6"/>
    </row>
    <row r="35" ht="11.25">
      <c r="I35" s="77"/>
    </row>
    <row r="36" spans="1:7" ht="11.25">
      <c r="A36" s="99" t="s">
        <v>275</v>
      </c>
      <c r="G36" s="99">
        <v>0.01</v>
      </c>
    </row>
    <row r="37" spans="1:7" ht="11.25">
      <c r="A37" s="3" t="s">
        <v>11</v>
      </c>
      <c r="G37" s="5"/>
    </row>
    <row r="39" spans="1:32" ht="11.25">
      <c r="A39" t="s">
        <v>58</v>
      </c>
      <c r="I39" s="70">
        <f>G34*(1+G36)</f>
        <v>142952.0600613</v>
      </c>
      <c r="J39" s="25">
        <f>G34*(1+G36)^3</f>
        <v>145825.39646853213</v>
      </c>
      <c r="K39" s="25">
        <f>J39*(1+$G$36)</f>
        <v>147283.65043321744</v>
      </c>
      <c r="L39" s="25">
        <f aca="true" t="shared" si="5" ref="L39:AF39">K39*(1+$G$36)</f>
        <v>148756.4869375496</v>
      </c>
      <c r="M39" s="25">
        <f t="shared" si="5"/>
        <v>150244.0518069251</v>
      </c>
      <c r="N39" s="25">
        <f t="shared" si="5"/>
        <v>151746.49232499435</v>
      </c>
      <c r="O39" s="25">
        <f t="shared" si="5"/>
        <v>153263.9572482443</v>
      </c>
      <c r="P39" s="25">
        <f t="shared" si="5"/>
        <v>154796.59682072673</v>
      </c>
      <c r="Q39" s="25">
        <f t="shared" si="5"/>
        <v>156344.562788934</v>
      </c>
      <c r="R39" s="25">
        <f t="shared" si="5"/>
        <v>157908.00841682334</v>
      </c>
      <c r="S39" s="25">
        <f t="shared" si="5"/>
        <v>159487.08850099158</v>
      </c>
      <c r="T39" s="25">
        <f t="shared" si="5"/>
        <v>161081.9593860015</v>
      </c>
      <c r="U39" s="25">
        <f t="shared" si="5"/>
        <v>162692.7789798615</v>
      </c>
      <c r="V39" s="25">
        <f t="shared" si="5"/>
        <v>164319.70676966012</v>
      </c>
      <c r="W39" s="25">
        <f t="shared" si="5"/>
        <v>165962.90383735672</v>
      </c>
      <c r="X39" s="25">
        <f t="shared" si="5"/>
        <v>167622.53287573028</v>
      </c>
      <c r="Y39" s="25">
        <f t="shared" si="5"/>
        <v>169298.7582044876</v>
      </c>
      <c r="Z39" s="25">
        <f t="shared" si="5"/>
        <v>170991.74578653247</v>
      </c>
      <c r="AA39" s="25">
        <f t="shared" si="5"/>
        <v>172701.6632443978</v>
      </c>
      <c r="AB39" s="25">
        <f t="shared" si="5"/>
        <v>174428.67987684178</v>
      </c>
      <c r="AC39" s="25">
        <f t="shared" si="5"/>
        <v>176172.9666756102</v>
      </c>
      <c r="AD39" s="25">
        <f t="shared" si="5"/>
        <v>177934.6963423663</v>
      </c>
      <c r="AE39" s="25">
        <f t="shared" si="5"/>
        <v>179714.04330578996</v>
      </c>
      <c r="AF39" s="25">
        <f t="shared" si="5"/>
        <v>181511.18373884787</v>
      </c>
    </row>
    <row r="40" spans="1:7" ht="11.25">
      <c r="A40" s="3" t="s">
        <v>122</v>
      </c>
      <c r="G40" s="5"/>
    </row>
    <row r="42" spans="1:33" ht="12">
      <c r="A42" t="s">
        <v>40</v>
      </c>
      <c r="G42" s="19"/>
      <c r="I42" s="29">
        <f aca="true" t="shared" si="6" ref="I42:AF42">I39*$G$27/$G$19</f>
        <v>1272.4922158987356</v>
      </c>
      <c r="J42" s="19">
        <f t="shared" si="6"/>
        <v>1298.0693094383003</v>
      </c>
      <c r="K42" s="19">
        <f t="shared" si="6"/>
        <v>1311.0500025326833</v>
      </c>
      <c r="L42" s="19">
        <f t="shared" si="6"/>
        <v>1324.1605025580097</v>
      </c>
      <c r="M42" s="19">
        <f t="shared" si="6"/>
        <v>1337.40210758359</v>
      </c>
      <c r="N42" s="19">
        <f t="shared" si="6"/>
        <v>1350.776128659426</v>
      </c>
      <c r="O42" s="19">
        <f t="shared" si="6"/>
        <v>1364.28388994602</v>
      </c>
      <c r="P42" s="19">
        <f t="shared" si="6"/>
        <v>1377.9267288454803</v>
      </c>
      <c r="Q42" s="19">
        <f t="shared" si="6"/>
        <v>1391.705996133935</v>
      </c>
      <c r="R42" s="19">
        <f t="shared" si="6"/>
        <v>1405.6230560952745</v>
      </c>
      <c r="S42" s="19">
        <f t="shared" si="6"/>
        <v>1419.679286656227</v>
      </c>
      <c r="T42" s="19">
        <f t="shared" si="6"/>
        <v>1433.8760795227895</v>
      </c>
      <c r="U42" s="19">
        <f t="shared" si="6"/>
        <v>1448.2148403180172</v>
      </c>
      <c r="V42" s="19">
        <f t="shared" si="6"/>
        <v>1462.6969887211974</v>
      </c>
      <c r="W42" s="19">
        <f t="shared" si="6"/>
        <v>1477.3239586084094</v>
      </c>
      <c r="X42" s="19">
        <f t="shared" si="6"/>
        <v>1492.0971981944936</v>
      </c>
      <c r="Y42" s="19">
        <f t="shared" si="6"/>
        <v>1507.0181701764384</v>
      </c>
      <c r="Z42" s="19">
        <f t="shared" si="6"/>
        <v>1522.0883518782027</v>
      </c>
      <c r="AA42" s="19">
        <f t="shared" si="6"/>
        <v>1537.3092353969848</v>
      </c>
      <c r="AB42" s="19">
        <f t="shared" si="6"/>
        <v>1552.682327750955</v>
      </c>
      <c r="AC42" s="19">
        <f t="shared" si="6"/>
        <v>1568.2091510284642</v>
      </c>
      <c r="AD42" s="19">
        <f t="shared" si="6"/>
        <v>1583.8912425387493</v>
      </c>
      <c r="AE42" s="19">
        <f t="shared" si="6"/>
        <v>1599.7301549641365</v>
      </c>
      <c r="AF42" s="19">
        <f t="shared" si="6"/>
        <v>1615.7274565137782</v>
      </c>
      <c r="AG42" s="19"/>
    </row>
    <row r="44" spans="1:7" ht="11.25">
      <c r="A44" s="99" t="s">
        <v>272</v>
      </c>
      <c r="G44" s="100">
        <v>0.01</v>
      </c>
    </row>
    <row r="45" spans="1:7" ht="11.25">
      <c r="A45" s="3" t="s">
        <v>102</v>
      </c>
      <c r="G45" s="5"/>
    </row>
    <row r="46" spans="1:7" ht="11.25">
      <c r="A46" t="s">
        <v>114</v>
      </c>
      <c r="G46" s="17">
        <f>G44*Summary!H53/10</f>
        <v>0.01</v>
      </c>
    </row>
    <row r="47" spans="1:33" ht="11.25">
      <c r="A47" t="s">
        <v>68</v>
      </c>
      <c r="E47" s="2"/>
      <c r="F47" s="37"/>
      <c r="H47" s="22">
        <f>G27*G12/2000+H29/100</f>
        <v>0.19813938095238093</v>
      </c>
      <c r="J47" s="36">
        <f aca="true" t="shared" si="7" ref="J47:AF47">J51*$G$12*J16/2000+J16*$H29/100</f>
        <v>0.19705795046240088</v>
      </c>
      <c r="K47" s="36">
        <f t="shared" si="7"/>
        <v>0.3919768732295701</v>
      </c>
      <c r="L47" s="36">
        <f t="shared" si="7"/>
        <v>0.5847921242882597</v>
      </c>
      <c r="M47" s="36">
        <f t="shared" si="7"/>
        <v>0.7755385401593804</v>
      </c>
      <c r="N47" s="36">
        <f t="shared" si="7"/>
        <v>0.9642504450532098</v>
      </c>
      <c r="O47" s="36">
        <f t="shared" si="7"/>
        <v>1.150961657929987</v>
      </c>
      <c r="P47" s="36">
        <f t="shared" si="7"/>
        <v>1.3357054994671076</v>
      </c>
      <c r="Q47" s="36">
        <f t="shared" si="7"/>
        <v>1.5185147989341226</v>
      </c>
      <c r="R47" s="36">
        <f t="shared" si="7"/>
        <v>1.699421900976724</v>
      </c>
      <c r="S47" s="36">
        <f t="shared" si="7"/>
        <v>1.8784586723108911</v>
      </c>
      <c r="T47" s="36">
        <f t="shared" si="7"/>
        <v>2.0556565083283544</v>
      </c>
      <c r="U47" s="36">
        <f t="shared" si="7"/>
        <v>2.2310463396145135</v>
      </c>
      <c r="V47" s="36">
        <f t="shared" si="7"/>
        <v>2.4046586383799395</v>
      </c>
      <c r="W47" s="36">
        <f t="shared" si="7"/>
        <v>2.5765234248065796</v>
      </c>
      <c r="X47" s="36">
        <f t="shared" si="7"/>
        <v>2.7466702733097543</v>
      </c>
      <c r="Y47" s="36">
        <f t="shared" si="7"/>
        <v>2.9151283187170383</v>
      </c>
      <c r="Z47" s="36">
        <f t="shared" si="7"/>
        <v>3.08192626236509</v>
      </c>
      <c r="AA47" s="36">
        <f t="shared" si="7"/>
        <v>3.2470923781155023</v>
      </c>
      <c r="AB47" s="36">
        <f t="shared" si="7"/>
        <v>3.410654518290698</v>
      </c>
      <c r="AC47" s="36">
        <f t="shared" si="7"/>
        <v>3.5726401195309188</v>
      </c>
      <c r="AD47" s="36">
        <f t="shared" si="7"/>
        <v>3.7330762085733196</v>
      </c>
      <c r="AE47" s="36">
        <f t="shared" si="7"/>
        <v>3.89198940795417</v>
      </c>
      <c r="AF47" s="36">
        <f t="shared" si="7"/>
        <v>4.049405941635163</v>
      </c>
      <c r="AG47" s="36"/>
    </row>
    <row r="48" spans="1:32" ht="11.25">
      <c r="A48" t="s">
        <v>56</v>
      </c>
      <c r="H48" s="36">
        <v>2.85</v>
      </c>
      <c r="I48" s="88"/>
      <c r="J48" s="36">
        <f aca="true" t="shared" si="8" ref="J48:AF48">$H$48+J47</f>
        <v>3.047057950462401</v>
      </c>
      <c r="K48" s="36">
        <f t="shared" si="8"/>
        <v>3.24197687322957</v>
      </c>
      <c r="L48" s="36">
        <f t="shared" si="8"/>
        <v>3.4347921242882595</v>
      </c>
      <c r="M48" s="36">
        <f t="shared" si="8"/>
        <v>3.6255385401593805</v>
      </c>
      <c r="N48" s="36">
        <f t="shared" si="8"/>
        <v>3.8142504450532098</v>
      </c>
      <c r="O48" s="36">
        <f t="shared" si="8"/>
        <v>4.000961657929987</v>
      </c>
      <c r="P48" s="36">
        <f t="shared" si="8"/>
        <v>4.185705499467108</v>
      </c>
      <c r="Q48" s="36">
        <f t="shared" si="8"/>
        <v>4.368514798934123</v>
      </c>
      <c r="R48" s="36">
        <f t="shared" si="8"/>
        <v>4.549421900976724</v>
      </c>
      <c r="S48" s="36">
        <f t="shared" si="8"/>
        <v>4.728458672310891</v>
      </c>
      <c r="T48" s="36">
        <f t="shared" si="8"/>
        <v>4.905656508328354</v>
      </c>
      <c r="U48" s="36">
        <f t="shared" si="8"/>
        <v>5.081046339614513</v>
      </c>
      <c r="V48" s="36">
        <f t="shared" si="8"/>
        <v>5.25465863837994</v>
      </c>
      <c r="W48" s="36">
        <f t="shared" si="8"/>
        <v>5.42652342480658</v>
      </c>
      <c r="X48" s="36">
        <f t="shared" si="8"/>
        <v>5.596670273309755</v>
      </c>
      <c r="Y48" s="36">
        <f t="shared" si="8"/>
        <v>5.765128318717038</v>
      </c>
      <c r="Z48" s="36">
        <f t="shared" si="8"/>
        <v>5.93192626236509</v>
      </c>
      <c r="AA48" s="36">
        <f t="shared" si="8"/>
        <v>6.097092378115502</v>
      </c>
      <c r="AB48" s="36">
        <f t="shared" si="8"/>
        <v>6.260654518290698</v>
      </c>
      <c r="AC48" s="36">
        <f t="shared" si="8"/>
        <v>6.422640119530919</v>
      </c>
      <c r="AD48" s="36">
        <f t="shared" si="8"/>
        <v>6.58307620857332</v>
      </c>
      <c r="AE48" s="36">
        <f t="shared" si="8"/>
        <v>6.74198940795417</v>
      </c>
      <c r="AF48" s="36">
        <f t="shared" si="8"/>
        <v>6.8994059416351625</v>
      </c>
    </row>
    <row r="49" ht="11.25">
      <c r="A49" s="3" t="s">
        <v>274</v>
      </c>
    </row>
    <row r="51" spans="1:32" ht="11.25">
      <c r="A51" t="s">
        <v>59</v>
      </c>
      <c r="G51" s="23">
        <f>G27</f>
        <v>19.627876190476186</v>
      </c>
      <c r="I51" s="72">
        <f aca="true" t="shared" si="9" ref="I51:AF51">$G$51*(1-$G$46)^(I17/$G$12)</f>
        <v>19.627876190476186</v>
      </c>
      <c r="J51" s="7">
        <f t="shared" si="9"/>
        <v>19.411590092480175</v>
      </c>
      <c r="K51" s="7">
        <f t="shared" si="9"/>
        <v>19.19768732295701</v>
      </c>
      <c r="L51" s="7">
        <f t="shared" si="9"/>
        <v>18.986141619217314</v>
      </c>
      <c r="M51" s="7">
        <f t="shared" si="9"/>
        <v>18.776927007969014</v>
      </c>
      <c r="N51" s="7">
        <f t="shared" si="9"/>
        <v>18.57001780212839</v>
      </c>
      <c r="O51" s="7">
        <f t="shared" si="9"/>
        <v>18.365388597666232</v>
      </c>
      <c r="P51" s="7">
        <f t="shared" si="9"/>
        <v>18.16301427048879</v>
      </c>
      <c r="Q51" s="7">
        <f t="shared" si="9"/>
        <v>17.96286997335306</v>
      </c>
      <c r="R51" s="7">
        <f t="shared" si="9"/>
        <v>17.764931132816084</v>
      </c>
      <c r="S51" s="7">
        <f t="shared" si="9"/>
        <v>17.569173446217825</v>
      </c>
      <c r="T51" s="7">
        <f t="shared" si="9"/>
        <v>17.375572878697355</v>
      </c>
      <c r="U51" s="7">
        <f t="shared" si="9"/>
        <v>17.18410566024189</v>
      </c>
      <c r="V51" s="7">
        <f t="shared" si="9"/>
        <v>16.994748282768295</v>
      </c>
      <c r="W51" s="7">
        <f t="shared" si="9"/>
        <v>16.807477497236853</v>
      </c>
      <c r="X51" s="7">
        <f t="shared" si="9"/>
        <v>16.62227031079673</v>
      </c>
      <c r="Y51" s="7">
        <f t="shared" si="9"/>
        <v>16.439103983962976</v>
      </c>
      <c r="Z51" s="7">
        <f t="shared" si="9"/>
        <v>16.257956027824587</v>
      </c>
      <c r="AA51" s="7">
        <f t="shared" si="9"/>
        <v>16.078804201283358</v>
      </c>
      <c r="AB51" s="7">
        <f t="shared" si="9"/>
        <v>15.901626508323137</v>
      </c>
      <c r="AC51" s="7">
        <f t="shared" si="9"/>
        <v>15.726401195309187</v>
      </c>
      <c r="AD51" s="7">
        <f t="shared" si="9"/>
        <v>15.553106748317328</v>
      </c>
      <c r="AE51" s="7">
        <f t="shared" si="9"/>
        <v>15.381721890492454</v>
      </c>
      <c r="AF51" s="7">
        <f t="shared" si="9"/>
        <v>15.212225579436204</v>
      </c>
    </row>
    <row r="52" spans="1:8" ht="12">
      <c r="A52" s="9"/>
      <c r="B52" s="9"/>
      <c r="C52" s="9"/>
      <c r="D52" s="9"/>
      <c r="E52" s="9"/>
      <c r="F52" s="9"/>
      <c r="H52" s="38"/>
    </row>
    <row r="53" spans="1:33" s="9" customFormat="1" ht="12">
      <c r="A53" s="45" t="s">
        <v>100</v>
      </c>
      <c r="G53" s="27"/>
      <c r="I53" s="76"/>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2" s="9" customFormat="1" ht="12">
      <c r="A54" s="9" t="s">
        <v>174</v>
      </c>
      <c r="G54" s="27"/>
      <c r="I54" s="74"/>
      <c r="J54" s="28">
        <f aca="true" t="shared" si="10" ref="J54:AF54">J122*J39</f>
        <v>389.46000136094335</v>
      </c>
      <c r="K54" s="28">
        <f t="shared" si="10"/>
        <v>1148.5631206028215</v>
      </c>
      <c r="L54" s="28">
        <f t="shared" si="10"/>
        <v>2257.8266181774666</v>
      </c>
      <c r="M54" s="28">
        <f t="shared" si="10"/>
        <v>3698.0681448398354</v>
      </c>
      <c r="N54" s="28">
        <f t="shared" si="10"/>
        <v>5450.4018959877485</v>
      </c>
      <c r="O54" s="28">
        <f t="shared" si="10"/>
        <v>7496.2533458652515</v>
      </c>
      <c r="P54" s="28">
        <f t="shared" si="10"/>
        <v>9817.385003951404</v>
      </c>
      <c r="Q54" s="28">
        <f t="shared" si="10"/>
        <v>12395.928091774098</v>
      </c>
      <c r="R54" s="28">
        <f t="shared" si="10"/>
        <v>15214.416675151379</v>
      </c>
      <c r="S54" s="28">
        <f t="shared" si="10"/>
        <v>18255.8218995793</v>
      </c>
      <c r="T54" s="28">
        <f t="shared" si="10"/>
        <v>21129.810592855705</v>
      </c>
      <c r="U54" s="28">
        <f t="shared" si="10"/>
        <v>23858.97765993292</v>
      </c>
      <c r="V54" s="28">
        <f t="shared" si="10"/>
        <v>26462.070808033022</v>
      </c>
      <c r="W54" s="28">
        <f t="shared" si="10"/>
        <v>28778.316478876124</v>
      </c>
      <c r="X54" s="28">
        <f t="shared" si="10"/>
        <v>30830.34903730572</v>
      </c>
      <c r="Y54" s="28">
        <f t="shared" si="10"/>
        <v>32636.858955115797</v>
      </c>
      <c r="Z54" s="28">
        <f t="shared" si="10"/>
        <v>34213.259787034025</v>
      </c>
      <c r="AA54" s="28">
        <f t="shared" si="10"/>
        <v>35572.21198275982</v>
      </c>
      <c r="AB54" s="28">
        <f t="shared" si="10"/>
        <v>36724.03798346279</v>
      </c>
      <c r="AC54" s="28">
        <f t="shared" si="10"/>
        <v>37677.05370000966</v>
      </c>
      <c r="AD54" s="28">
        <f t="shared" si="10"/>
        <v>38437.834914715924</v>
      </c>
      <c r="AE54" s="28">
        <f t="shared" si="10"/>
        <v>39011.43247888856</v>
      </c>
      <c r="AF54" s="28">
        <f t="shared" si="10"/>
        <v>39401.54680367744</v>
      </c>
    </row>
    <row r="55" spans="1:33" s="9" customFormat="1" ht="12">
      <c r="A55" s="9" t="s">
        <v>175</v>
      </c>
      <c r="I55" s="75"/>
      <c r="J55" s="28">
        <f aca="true" t="shared" si="11" ref="J55:AF55">J39-J54</f>
        <v>145435.93646717118</v>
      </c>
      <c r="K55" s="28">
        <f t="shared" si="11"/>
        <v>146135.0873126146</v>
      </c>
      <c r="L55" s="28">
        <f t="shared" si="11"/>
        <v>146498.66031937214</v>
      </c>
      <c r="M55" s="28">
        <f t="shared" si="11"/>
        <v>146545.98366208526</v>
      </c>
      <c r="N55" s="28">
        <f t="shared" si="11"/>
        <v>146296.0904290066</v>
      </c>
      <c r="O55" s="28">
        <f t="shared" si="11"/>
        <v>145767.70390237903</v>
      </c>
      <c r="P55" s="28">
        <f t="shared" si="11"/>
        <v>144979.21181677532</v>
      </c>
      <c r="Q55" s="28">
        <f t="shared" si="11"/>
        <v>143948.63469715993</v>
      </c>
      <c r="R55" s="28">
        <f t="shared" si="11"/>
        <v>142693.59174167196</v>
      </c>
      <c r="S55" s="28">
        <f t="shared" si="11"/>
        <v>141231.26660141227</v>
      </c>
      <c r="T55" s="28">
        <f t="shared" si="11"/>
        <v>139952.14879314578</v>
      </c>
      <c r="U55" s="28">
        <f t="shared" si="11"/>
        <v>138833.80131992858</v>
      </c>
      <c r="V55" s="28">
        <f t="shared" si="11"/>
        <v>137857.6359616271</v>
      </c>
      <c r="W55" s="28">
        <f t="shared" si="11"/>
        <v>137184.58735848058</v>
      </c>
      <c r="X55" s="28">
        <f t="shared" si="11"/>
        <v>136792.18383842456</v>
      </c>
      <c r="Y55" s="28">
        <f t="shared" si="11"/>
        <v>136661.89924937178</v>
      </c>
      <c r="Z55" s="28">
        <f t="shared" si="11"/>
        <v>136778.48599949846</v>
      </c>
      <c r="AA55" s="28">
        <f t="shared" si="11"/>
        <v>137129.45126163797</v>
      </c>
      <c r="AB55" s="28">
        <f t="shared" si="11"/>
        <v>137704.64189337898</v>
      </c>
      <c r="AC55" s="28">
        <f t="shared" si="11"/>
        <v>138495.91297560054</v>
      </c>
      <c r="AD55" s="28">
        <f t="shared" si="11"/>
        <v>139496.86142765038</v>
      </c>
      <c r="AE55" s="28">
        <f t="shared" si="11"/>
        <v>140702.6108269014</v>
      </c>
      <c r="AF55" s="28">
        <f t="shared" si="11"/>
        <v>142109.63693517045</v>
      </c>
      <c r="AG55" s="28"/>
    </row>
    <row r="56" spans="1:32" s="9" customFormat="1" ht="12">
      <c r="A56" s="9" t="s">
        <v>41</v>
      </c>
      <c r="G56" s="27"/>
      <c r="I56" s="76"/>
      <c r="J56" s="29">
        <f aca="true" t="shared" si="12" ref="J56:AF56">J55*J51/$G$19</f>
        <v>1280.3368632275358</v>
      </c>
      <c r="K56" s="29">
        <f t="shared" si="12"/>
        <v>1272.3155161635361</v>
      </c>
      <c r="L56" s="29">
        <f t="shared" si="12"/>
        <v>1261.4259917683498</v>
      </c>
      <c r="M56" s="29">
        <f t="shared" si="12"/>
        <v>1247.9289063646233</v>
      </c>
      <c r="N56" s="29">
        <f t="shared" si="12"/>
        <v>1232.073017527636</v>
      </c>
      <c r="O56" s="29">
        <f t="shared" si="12"/>
        <v>1214.0954771685892</v>
      </c>
      <c r="P56" s="29">
        <f t="shared" si="12"/>
        <v>1194.2219923593232</v>
      </c>
      <c r="Q56" s="29">
        <f t="shared" si="12"/>
        <v>1172.6669423613525</v>
      </c>
      <c r="R56" s="29">
        <f t="shared" si="12"/>
        <v>1149.6334831677896</v>
      </c>
      <c r="S56" s="29">
        <f t="shared" si="12"/>
        <v>1125.3136593874117</v>
      </c>
      <c r="T56" s="29">
        <f t="shared" si="12"/>
        <v>1102.8339051635376</v>
      </c>
      <c r="U56" s="29">
        <f t="shared" si="12"/>
        <v>1081.9658553717381</v>
      </c>
      <c r="V56" s="29">
        <f t="shared" si="12"/>
        <v>1062.5196471770334</v>
      </c>
      <c r="W56" s="29">
        <f t="shared" si="12"/>
        <v>1045.6811179117394</v>
      </c>
      <c r="X56" s="29">
        <f t="shared" si="12"/>
        <v>1031.2002975811758</v>
      </c>
      <c r="Y56" s="29">
        <f t="shared" si="12"/>
        <v>1018.8658378259838</v>
      </c>
      <c r="Z56" s="29">
        <f t="shared" si="12"/>
        <v>1008.4982362504611</v>
      </c>
      <c r="AA56" s="29">
        <f t="shared" si="12"/>
        <v>999.9444884649913</v>
      </c>
      <c r="AB56" s="29">
        <f t="shared" si="12"/>
        <v>993.0738248756916</v>
      </c>
      <c r="AC56" s="29">
        <f t="shared" si="12"/>
        <v>987.7742817981502</v>
      </c>
      <c r="AD56" s="29">
        <f t="shared" si="12"/>
        <v>983.9499214691502</v>
      </c>
      <c r="AE56" s="29">
        <f t="shared" si="12"/>
        <v>981.518561907297</v>
      </c>
      <c r="AF56" s="29">
        <f t="shared" si="12"/>
        <v>980.4099111426721</v>
      </c>
    </row>
    <row r="57" spans="1:32" s="9" customFormat="1" ht="12">
      <c r="A57" s="9" t="s">
        <v>45</v>
      </c>
      <c r="G57" s="27"/>
      <c r="I57" s="76"/>
      <c r="J57" s="29">
        <f aca="true" t="shared" si="13" ref="J57:AF57">J42-J56</f>
        <v>17.732446210764465</v>
      </c>
      <c r="K57" s="29">
        <f t="shared" si="13"/>
        <v>38.734486369147135</v>
      </c>
      <c r="L57" s="29">
        <f t="shared" si="13"/>
        <v>62.73451078965991</v>
      </c>
      <c r="M57" s="29">
        <f t="shared" si="13"/>
        <v>89.47320121896655</v>
      </c>
      <c r="N57" s="29">
        <f t="shared" si="13"/>
        <v>118.70311113178991</v>
      </c>
      <c r="O57" s="29">
        <f t="shared" si="13"/>
        <v>150.1884127774308</v>
      </c>
      <c r="P57" s="29">
        <f t="shared" si="13"/>
        <v>183.70473648615712</v>
      </c>
      <c r="Q57" s="29">
        <f t="shared" si="13"/>
        <v>219.03905377258252</v>
      </c>
      <c r="R57" s="29">
        <f t="shared" si="13"/>
        <v>255.98957292748491</v>
      </c>
      <c r="S57" s="29">
        <f t="shared" si="13"/>
        <v>294.3656272688154</v>
      </c>
      <c r="T57" s="29">
        <f t="shared" si="13"/>
        <v>331.04217435925193</v>
      </c>
      <c r="U57" s="29">
        <f t="shared" si="13"/>
        <v>366.24898494627905</v>
      </c>
      <c r="V57" s="29">
        <f t="shared" si="13"/>
        <v>400.17734154416394</v>
      </c>
      <c r="W57" s="29">
        <f t="shared" si="13"/>
        <v>431.64284069666996</v>
      </c>
      <c r="X57" s="29">
        <f t="shared" si="13"/>
        <v>460.8969006133177</v>
      </c>
      <c r="Y57" s="29">
        <f t="shared" si="13"/>
        <v>488.15233235045457</v>
      </c>
      <c r="Z57" s="29">
        <f t="shared" si="13"/>
        <v>513.5901156277416</v>
      </c>
      <c r="AA57" s="29">
        <f t="shared" si="13"/>
        <v>537.3647469319935</v>
      </c>
      <c r="AB57" s="29">
        <f t="shared" si="13"/>
        <v>559.6085028752634</v>
      </c>
      <c r="AC57" s="29">
        <f t="shared" si="13"/>
        <v>580.434869230314</v>
      </c>
      <c r="AD57" s="29">
        <f t="shared" si="13"/>
        <v>599.9413210695991</v>
      </c>
      <c r="AE57" s="29">
        <f t="shared" si="13"/>
        <v>618.2115930568395</v>
      </c>
      <c r="AF57" s="29">
        <f t="shared" si="13"/>
        <v>635.3175453711061</v>
      </c>
    </row>
    <row r="58" spans="1:32" s="9" customFormat="1" ht="12">
      <c r="A58" s="9" t="s">
        <v>216</v>
      </c>
      <c r="G58" s="27"/>
      <c r="I58" s="76"/>
      <c r="J58" s="29">
        <f>$J$42-J56</f>
        <v>17.732446210764465</v>
      </c>
      <c r="K58" s="29">
        <f aca="true" t="shared" si="14" ref="K58:AF58">$J$42-K56</f>
        <v>25.75379327476412</v>
      </c>
      <c r="L58" s="29">
        <f t="shared" si="14"/>
        <v>36.64331766995042</v>
      </c>
      <c r="M58" s="29">
        <f t="shared" si="14"/>
        <v>50.14040307367691</v>
      </c>
      <c r="N58" s="29">
        <f t="shared" si="14"/>
        <v>65.99629191066424</v>
      </c>
      <c r="O58" s="29">
        <f t="shared" si="14"/>
        <v>83.97383226971101</v>
      </c>
      <c r="P58" s="29">
        <f t="shared" si="14"/>
        <v>103.84731707897708</v>
      </c>
      <c r="Q58" s="29">
        <f t="shared" si="14"/>
        <v>125.40236707694771</v>
      </c>
      <c r="R58" s="29">
        <f t="shared" si="14"/>
        <v>148.4358262705107</v>
      </c>
      <c r="S58" s="29">
        <f t="shared" si="14"/>
        <v>172.75565005088856</v>
      </c>
      <c r="T58" s="29">
        <f t="shared" si="14"/>
        <v>195.2354042747627</v>
      </c>
      <c r="U58" s="29">
        <f t="shared" si="14"/>
        <v>216.1034540665621</v>
      </c>
      <c r="V58" s="29">
        <f t="shared" si="14"/>
        <v>235.5496622612668</v>
      </c>
      <c r="W58" s="29">
        <f t="shared" si="14"/>
        <v>252.38819152656083</v>
      </c>
      <c r="X58" s="29">
        <f t="shared" si="14"/>
        <v>266.8690118571244</v>
      </c>
      <c r="Y58" s="29">
        <f t="shared" si="14"/>
        <v>279.20347161231643</v>
      </c>
      <c r="Z58" s="29">
        <f t="shared" si="14"/>
        <v>289.57107318783915</v>
      </c>
      <c r="AA58" s="29">
        <f t="shared" si="14"/>
        <v>298.12482097330894</v>
      </c>
      <c r="AB58" s="29">
        <f t="shared" si="14"/>
        <v>304.9954845626087</v>
      </c>
      <c r="AC58" s="29">
        <f t="shared" si="14"/>
        <v>310.29502764015</v>
      </c>
      <c r="AD58" s="29">
        <f t="shared" si="14"/>
        <v>314.11938796915</v>
      </c>
      <c r="AE58" s="29">
        <f t="shared" si="14"/>
        <v>316.55074753100325</v>
      </c>
      <c r="AF58" s="29">
        <f t="shared" si="14"/>
        <v>317.6593982956282</v>
      </c>
    </row>
    <row r="59" spans="1:33" s="9" customFormat="1" ht="12">
      <c r="A59" s="9" t="s">
        <v>185</v>
      </c>
      <c r="G59" s="27"/>
      <c r="I59" s="76"/>
      <c r="J59" s="51">
        <f aca="true" t="shared" si="15" ref="J59:AF59">J56*J17</f>
        <v>14115.713917083582</v>
      </c>
      <c r="K59" s="51">
        <f t="shared" si="15"/>
        <v>28054.557131405974</v>
      </c>
      <c r="L59" s="51">
        <f t="shared" si="15"/>
        <v>41721.664677738176</v>
      </c>
      <c r="M59" s="51">
        <f t="shared" si="15"/>
        <v>55033.66477067989</v>
      </c>
      <c r="N59" s="51">
        <f t="shared" si="15"/>
        <v>67918.02509121093</v>
      </c>
      <c r="O59" s="51">
        <f t="shared" si="15"/>
        <v>80312.41581470218</v>
      </c>
      <c r="P59" s="51">
        <f t="shared" si="15"/>
        <v>92164.08226033076</v>
      </c>
      <c r="Q59" s="51">
        <f t="shared" si="15"/>
        <v>103429.2243162713</v>
      </c>
      <c r="R59" s="51">
        <f t="shared" si="15"/>
        <v>114072.38236732391</v>
      </c>
      <c r="S59" s="51">
        <f t="shared" si="15"/>
        <v>124065.83094746213</v>
      </c>
      <c r="T59" s="51">
        <f t="shared" si="15"/>
        <v>133746.18184870802</v>
      </c>
      <c r="U59" s="51">
        <f t="shared" si="15"/>
        <v>143144.08266568097</v>
      </c>
      <c r="V59" s="51">
        <f t="shared" si="15"/>
        <v>152285.6284316483</v>
      </c>
      <c r="W59" s="51">
        <f t="shared" si="15"/>
        <v>161400.88054967698</v>
      </c>
      <c r="X59" s="51">
        <f t="shared" si="15"/>
        <v>170534.74921248696</v>
      </c>
      <c r="Y59" s="51">
        <f t="shared" si="15"/>
        <v>179727.93379250355</v>
      </c>
      <c r="Z59" s="51">
        <f t="shared" si="15"/>
        <v>189017.7819292427</v>
      </c>
      <c r="AA59" s="51">
        <f t="shared" si="15"/>
        <v>198438.98373587753</v>
      </c>
      <c r="AB59" s="51">
        <f t="shared" si="15"/>
        <v>208024.1394658355</v>
      </c>
      <c r="AC59" s="51">
        <f t="shared" si="15"/>
        <v>217804.22913649213</v>
      </c>
      <c r="AD59" s="51">
        <f t="shared" si="15"/>
        <v>227809.00556814502</v>
      </c>
      <c r="AE59" s="51">
        <f t="shared" si="15"/>
        <v>238067.3271906149</v>
      </c>
      <c r="AF59" s="51">
        <f t="shared" si="15"/>
        <v>248607.44321800306</v>
      </c>
      <c r="AG59" s="51"/>
    </row>
    <row r="60" spans="1:32" s="9" customFormat="1" ht="12">
      <c r="A60" s="9" t="s">
        <v>186</v>
      </c>
      <c r="G60" s="27"/>
      <c r="I60" s="76"/>
      <c r="J60" s="51">
        <f aca="true" t="shared" si="16" ref="J60:AF60">J55*$H$29*J16/100</f>
        <v>14543.593646717118</v>
      </c>
      <c r="K60" s="51">
        <f t="shared" si="16"/>
        <v>29227.01746252292</v>
      </c>
      <c r="L60" s="51">
        <f t="shared" si="16"/>
        <v>43949.59809581164</v>
      </c>
      <c r="M60" s="51">
        <f t="shared" si="16"/>
        <v>58618.3934648341</v>
      </c>
      <c r="N60" s="51">
        <f t="shared" si="16"/>
        <v>73148.0452145033</v>
      </c>
      <c r="O60" s="51">
        <f t="shared" si="16"/>
        <v>87460.62234142741</v>
      </c>
      <c r="P60" s="51">
        <f t="shared" si="16"/>
        <v>101485.44827174273</v>
      </c>
      <c r="Q60" s="51">
        <f t="shared" si="16"/>
        <v>115158.90775772795</v>
      </c>
      <c r="R60" s="51">
        <f t="shared" si="16"/>
        <v>128424.23256750478</v>
      </c>
      <c r="S60" s="51">
        <f t="shared" si="16"/>
        <v>141231.26660141227</v>
      </c>
      <c r="T60" s="51">
        <f t="shared" si="16"/>
        <v>153947.36367246034</v>
      </c>
      <c r="U60" s="51">
        <f t="shared" si="16"/>
        <v>166600.5615839143</v>
      </c>
      <c r="V60" s="51">
        <f t="shared" si="16"/>
        <v>179214.92675011524</v>
      </c>
      <c r="W60" s="51">
        <f t="shared" si="16"/>
        <v>192058.4223018728</v>
      </c>
      <c r="X60" s="51">
        <f t="shared" si="16"/>
        <v>205188.27575763685</v>
      </c>
      <c r="Y60" s="51">
        <f t="shared" si="16"/>
        <v>218659.03879899488</v>
      </c>
      <c r="Z60" s="51">
        <f t="shared" si="16"/>
        <v>232523.4261991474</v>
      </c>
      <c r="AA60" s="51">
        <f t="shared" si="16"/>
        <v>246833.01227094833</v>
      </c>
      <c r="AB60" s="51">
        <f t="shared" si="16"/>
        <v>261638.81959742005</v>
      </c>
      <c r="AC60" s="51">
        <f t="shared" si="16"/>
        <v>276991.8259512011</v>
      </c>
      <c r="AD60" s="51">
        <f t="shared" si="16"/>
        <v>292943.4089980658</v>
      </c>
      <c r="AE60" s="51">
        <f t="shared" si="16"/>
        <v>309545.7438191831</v>
      </c>
      <c r="AF60" s="51">
        <f t="shared" si="16"/>
        <v>326852.1649508921</v>
      </c>
    </row>
    <row r="61" spans="1:33" s="9" customFormat="1" ht="12">
      <c r="A61" s="9" t="s">
        <v>281</v>
      </c>
      <c r="G61" s="27"/>
      <c r="I61" s="76"/>
      <c r="J61" s="51">
        <f aca="true" t="shared" si="17" ref="J61:AF61">J59+J60</f>
        <v>28659.3075638007</v>
      </c>
      <c r="K61" s="51">
        <f t="shared" si="17"/>
        <v>57281.57459392889</v>
      </c>
      <c r="L61" s="51">
        <f t="shared" si="17"/>
        <v>85671.26277354982</v>
      </c>
      <c r="M61" s="130">
        <f t="shared" si="17"/>
        <v>113652.05823551399</v>
      </c>
      <c r="N61" s="130">
        <f t="shared" si="17"/>
        <v>141066.07030571424</v>
      </c>
      <c r="O61" s="130">
        <f t="shared" si="17"/>
        <v>167773.0381561296</v>
      </c>
      <c r="P61" s="130">
        <f t="shared" si="17"/>
        <v>193649.5305320735</v>
      </c>
      <c r="Q61" s="130">
        <f t="shared" si="17"/>
        <v>218588.13207399927</v>
      </c>
      <c r="R61" s="130">
        <f t="shared" si="17"/>
        <v>242496.61493482869</v>
      </c>
      <c r="S61" s="130">
        <f t="shared" si="17"/>
        <v>265297.0975488744</v>
      </c>
      <c r="T61" s="130">
        <f t="shared" si="17"/>
        <v>287693.5455211684</v>
      </c>
      <c r="U61" s="130">
        <f t="shared" si="17"/>
        <v>309744.64424959524</v>
      </c>
      <c r="V61" s="130">
        <f t="shared" si="17"/>
        <v>331500.55518176354</v>
      </c>
      <c r="W61" s="130">
        <f t="shared" si="17"/>
        <v>353459.3028515498</v>
      </c>
      <c r="X61" s="130">
        <f t="shared" si="17"/>
        <v>375723.0249701238</v>
      </c>
      <c r="Y61" s="130">
        <f t="shared" si="17"/>
        <v>398386.9725914984</v>
      </c>
      <c r="Z61" s="130">
        <f t="shared" si="17"/>
        <v>421541.2081283901</v>
      </c>
      <c r="AA61" s="130">
        <f t="shared" si="17"/>
        <v>445271.9960068258</v>
      </c>
      <c r="AB61" s="130">
        <f t="shared" si="17"/>
        <v>469662.9590632556</v>
      </c>
      <c r="AC61" s="130">
        <f t="shared" si="17"/>
        <v>494796.0550876932</v>
      </c>
      <c r="AD61" s="130">
        <f t="shared" si="17"/>
        <v>520752.4145662108</v>
      </c>
      <c r="AE61" s="130">
        <f t="shared" si="17"/>
        <v>547613.071009798</v>
      </c>
      <c r="AF61" s="130">
        <f t="shared" si="17"/>
        <v>575459.6081688951</v>
      </c>
      <c r="AG61" s="28"/>
    </row>
    <row r="62" spans="7:33" s="9" customFormat="1" ht="12">
      <c r="G62" s="27"/>
      <c r="I62" s="76"/>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2" ht="11.25">
      <c r="A63" t="s">
        <v>57</v>
      </c>
      <c r="H63" s="16"/>
      <c r="J63" s="16">
        <f>J48/H48-1</f>
        <v>0.06914314051312309</v>
      </c>
      <c r="K63" s="16">
        <f aca="true" t="shared" si="18" ref="K63:AF63">K48/J48-1</f>
        <v>0.06396954896692719</v>
      </c>
      <c r="L63" s="16">
        <f t="shared" si="18"/>
        <v>0.059474591768636564</v>
      </c>
      <c r="M63" s="16">
        <f t="shared" si="18"/>
        <v>0.055533612797789456</v>
      </c>
      <c r="N63" s="16">
        <f t="shared" si="18"/>
        <v>0.052050723721043024</v>
      </c>
      <c r="O63" s="16">
        <f t="shared" si="18"/>
        <v>0.04895095787926751</v>
      </c>
      <c r="P63" s="16">
        <f t="shared" si="18"/>
        <v>0.04617485927938225</v>
      </c>
      <c r="Q63" s="16">
        <f t="shared" si="18"/>
        <v>0.043674668342120304</v>
      </c>
      <c r="R63" s="16">
        <f t="shared" si="18"/>
        <v>0.04141158044989135</v>
      </c>
      <c r="S63" s="16">
        <f t="shared" si="18"/>
        <v>0.039353741031520784</v>
      </c>
      <c r="T63" s="16">
        <f t="shared" si="18"/>
        <v>0.037474756214980864</v>
      </c>
      <c r="U63" s="16">
        <f t="shared" si="18"/>
        <v>0.03575257072899407</v>
      </c>
      <c r="V63" s="16">
        <f t="shared" si="18"/>
        <v>0.034168611573536456</v>
      </c>
      <c r="W63" s="16">
        <f t="shared" si="18"/>
        <v>0.03270712680959753</v>
      </c>
      <c r="X63" s="16">
        <f t="shared" si="18"/>
        <v>0.03135466949711718</v>
      </c>
      <c r="Y63" s="16">
        <f t="shared" si="18"/>
        <v>0.030099690919912048</v>
      </c>
      <c r="Z63" s="16">
        <f t="shared" si="18"/>
        <v>0.02893221701701365</v>
      </c>
      <c r="AA63" s="16">
        <f t="shared" si="18"/>
        <v>0.027843588818408538</v>
      </c>
      <c r="AB63" s="16">
        <f t="shared" si="18"/>
        <v>0.026826252585949728</v>
      </c>
      <c r="AC63" s="16">
        <f t="shared" si="18"/>
        <v>0.02587358889824931</v>
      </c>
      <c r="AD63" s="16">
        <f t="shared" si="18"/>
        <v>0.024979772501112496</v>
      </c>
      <c r="AE63" s="16">
        <f t="shared" si="18"/>
        <v>0.024139656650775665</v>
      </c>
      <c r="AF63" s="16">
        <f t="shared" si="18"/>
        <v>0.023348677097486004</v>
      </c>
    </row>
    <row r="65" spans="1:7" ht="11.25">
      <c r="A65" s="99" t="s">
        <v>98</v>
      </c>
      <c r="G65" s="99">
        <v>0.4</v>
      </c>
    </row>
    <row r="66" ht="11.25">
      <c r="A66" s="3" t="s">
        <v>55</v>
      </c>
    </row>
    <row r="68" spans="1:21" ht="11.25">
      <c r="A68" s="3"/>
      <c r="G68" s="5"/>
      <c r="U68" s="6"/>
    </row>
    <row r="69" spans="1:22" ht="11.25">
      <c r="A69" s="99" t="s">
        <v>47</v>
      </c>
      <c r="G69" s="98">
        <v>10</v>
      </c>
      <c r="L69" s="165" t="s">
        <v>252</v>
      </c>
      <c r="M69" s="155"/>
      <c r="N69" s="155"/>
      <c r="O69" s="155"/>
      <c r="P69" s="155"/>
      <c r="Q69" s="155"/>
      <c r="R69" s="155"/>
      <c r="S69" s="155"/>
      <c r="T69" s="155"/>
      <c r="U69" s="155"/>
      <c r="V69" s="155"/>
    </row>
    <row r="70" spans="1:22" ht="11.25">
      <c r="A70" s="3"/>
      <c r="L70" s="155"/>
      <c r="M70" s="155"/>
      <c r="N70" s="155"/>
      <c r="O70" s="155"/>
      <c r="P70" s="155"/>
      <c r="Q70" s="155"/>
      <c r="R70" s="155"/>
      <c r="S70" s="155"/>
      <c r="T70" s="155"/>
      <c r="U70" s="155"/>
      <c r="V70" s="155"/>
    </row>
    <row r="71" spans="12:22" ht="11.25">
      <c r="L71" s="155"/>
      <c r="M71" s="155"/>
      <c r="N71" s="155"/>
      <c r="O71" s="155"/>
      <c r="P71" s="155"/>
      <c r="Q71" s="155"/>
      <c r="R71" s="155"/>
      <c r="S71" s="155"/>
      <c r="T71" s="155"/>
      <c r="U71" s="155"/>
      <c r="V71" s="155"/>
    </row>
    <row r="72" spans="1:26" s="111" customFormat="1" ht="11.25">
      <c r="A72" s="111" t="s">
        <v>36</v>
      </c>
      <c r="G72" s="111">
        <f>J7</f>
        <v>2008</v>
      </c>
      <c r="I72" s="115"/>
      <c r="L72" s="155"/>
      <c r="M72" s="155"/>
      <c r="N72" s="155"/>
      <c r="O72" s="155"/>
      <c r="P72" s="155"/>
      <c r="Q72" s="155"/>
      <c r="R72" s="155"/>
      <c r="S72" s="155"/>
      <c r="T72" s="155"/>
      <c r="U72" s="155"/>
      <c r="V72" s="155"/>
      <c r="X72"/>
      <c r="Y72"/>
      <c r="Z72"/>
    </row>
    <row r="74" spans="1:32" s="41" customFormat="1" ht="11.25">
      <c r="A74" s="30" t="s">
        <v>99</v>
      </c>
      <c r="B74" s="6"/>
      <c r="C74" s="6"/>
      <c r="D74" s="6"/>
      <c r="E74" s="6"/>
      <c r="F74" s="6"/>
      <c r="G74">
        <f>G72</f>
        <v>2008</v>
      </c>
      <c r="I74" s="89"/>
      <c r="J74" s="6">
        <f>IF(J7&gt;=Summary!$H$61+$G$69,$G$65,((J7-$G$72+1)/$G$69)*$G$65)</f>
        <v>0.04000000000000001</v>
      </c>
      <c r="K74" s="6">
        <f>IF(K7&gt;=Summary!$H$61+$G$69,$G$65,((K7-$G$72+1)/$G$69)*$G$65)</f>
        <v>0.08000000000000002</v>
      </c>
      <c r="L74" s="6">
        <f>IF(L7&gt;=Summary!$H$61+$G$69,$G$65,((L7-$G$72+1)/$G$69)*$G$65)</f>
        <v>0.12</v>
      </c>
      <c r="M74" s="6">
        <f>IF(M7&gt;=Summary!$H$61+$G$69,$G$65,((M7-$G$72+1)/$G$69)*$G$65)</f>
        <v>0.16000000000000003</v>
      </c>
      <c r="N74" s="6">
        <f>IF(N7&gt;=Summary!$H$61+$G$69,$G$65,((N7-$G$72+1)/$G$69)*$G$65)</f>
        <v>0.2</v>
      </c>
      <c r="O74" s="6">
        <f>IF(O7&gt;=Summary!$H$61+$G$69,$G$65,((O7-$G$72+1)/$G$69)*$G$65)</f>
        <v>0.24</v>
      </c>
      <c r="P74" s="6">
        <f>IF(P7&gt;=Summary!$H$61+$G$69,$G$65,((P7-$G$72+1)/$G$69)*$G$65)</f>
        <v>0.27999999999999997</v>
      </c>
      <c r="Q74" s="6">
        <f>IF(Q7&gt;=Summary!$H$61+$G$69,$G$65,((Q7-$G$72+1)/$G$69)*$G$65)</f>
        <v>0.32000000000000006</v>
      </c>
      <c r="R74" s="6">
        <f>IF(R7&gt;=Summary!$H$61+$G$69,$G$65,((R7-$G$72+1)/$G$69)*$G$65)</f>
        <v>0.36000000000000004</v>
      </c>
      <c r="S74" s="6">
        <f>IF(S7&gt;=Summary!$H$61+$G$69,$G$65,((S7-$G$72+1)/$G$69)*$G$65)</f>
        <v>0.4</v>
      </c>
      <c r="T74" s="6">
        <f>IF(T7&gt;=Summary!$H$61+$G$69,$G$65,((T7-$G$72+1)/$G$69)*$G$65)</f>
        <v>0.4</v>
      </c>
      <c r="U74" s="6">
        <f>IF(U7&gt;=Summary!$H$61+$G$69,$G$65,((U7-$G$72+1)/$G$69)*$G$65)</f>
        <v>0.4</v>
      </c>
      <c r="V74" s="6">
        <f>IF(V7&gt;=Summary!$H$61+$G$69,$G$65,((V7-$G$72+1)/$G$69)*$G$65)</f>
        <v>0.4</v>
      </c>
      <c r="W74" s="6">
        <f>IF(W7&gt;=Summary!$H$61+$G$69,$G$65,((W7-$G$72+1)/$G$69)*$G$65)</f>
        <v>0.4</v>
      </c>
      <c r="X74" s="6">
        <f>IF(X7&gt;=Summary!$H$61+$G$69,$G$65,((X7-$G$72+1)/$G$69)*$G$65)</f>
        <v>0.4</v>
      </c>
      <c r="Y74" s="6">
        <f>IF(Y7&gt;=Summary!$H$61+$G$69,$G$65,((Y7-$G$72+1)/$G$69)*$G$65)</f>
        <v>0.4</v>
      </c>
      <c r="Z74" s="6">
        <f>IF(Z7&gt;=Summary!$H$61+$G$69,$G$65,((Z7-$G$72+1)/$G$69)*$G$65)</f>
        <v>0.4</v>
      </c>
      <c r="AA74" s="6">
        <f>IF(AA7&gt;=Summary!$H$61+$G$69,$G$65,((AA7-$G$72+1)/$G$69)*$G$65)</f>
        <v>0.4</v>
      </c>
      <c r="AB74" s="6">
        <f>IF(AB7&gt;=Summary!$H$61+$G$69,$G$65,((AB7-$G$72+1)/$G$69)*$G$65)</f>
        <v>0.4</v>
      </c>
      <c r="AC74" s="6">
        <f>IF(AC7&gt;=Summary!$H$61+$G$69,$G$65,((AC7-$G$72+1)/$G$69)*$G$65)</f>
        <v>0.4</v>
      </c>
      <c r="AD74" s="6">
        <f>IF(AD7&gt;=Summary!$H$61+$G$69,$G$65,((AD7-$G$72+1)/$G$69)*$G$65)</f>
        <v>0.4</v>
      </c>
      <c r="AE74" s="6">
        <f>IF(AE7&gt;=Summary!$H$61+$G$69,$G$65,((AE7-$G$72+1)/$G$69)*$G$65)</f>
        <v>0.4</v>
      </c>
      <c r="AF74" s="6">
        <f>IF(AF7&gt;=Summary!$H$61+$G$69,$G$65,((AF7-$G$72+1)/$G$69)*$G$65)</f>
        <v>0.4</v>
      </c>
    </row>
    <row r="75" spans="1:32" s="41" customFormat="1" ht="11.25">
      <c r="A75" s="30" t="s">
        <v>99</v>
      </c>
      <c r="F75"/>
      <c r="G75">
        <f>G74+1</f>
        <v>2009</v>
      </c>
      <c r="I75" s="89"/>
      <c r="J75" s="6"/>
      <c r="K75" s="6">
        <f aca="true" t="shared" si="19" ref="K75:AF86">J74</f>
        <v>0.04000000000000001</v>
      </c>
      <c r="L75" s="6">
        <f t="shared" si="19"/>
        <v>0.08000000000000002</v>
      </c>
      <c r="M75" s="6">
        <f t="shared" si="19"/>
        <v>0.12</v>
      </c>
      <c r="N75" s="6">
        <f t="shared" si="19"/>
        <v>0.16000000000000003</v>
      </c>
      <c r="O75" s="6">
        <f t="shared" si="19"/>
        <v>0.2</v>
      </c>
      <c r="P75" s="6">
        <f t="shared" si="19"/>
        <v>0.24</v>
      </c>
      <c r="Q75" s="6">
        <f t="shared" si="19"/>
        <v>0.27999999999999997</v>
      </c>
      <c r="R75" s="6">
        <f t="shared" si="19"/>
        <v>0.32000000000000006</v>
      </c>
      <c r="S75" s="6">
        <f t="shared" si="19"/>
        <v>0.36000000000000004</v>
      </c>
      <c r="T75" s="6">
        <f t="shared" si="19"/>
        <v>0.4</v>
      </c>
      <c r="U75" s="6">
        <f t="shared" si="19"/>
        <v>0.4</v>
      </c>
      <c r="V75" s="6">
        <f t="shared" si="19"/>
        <v>0.4</v>
      </c>
      <c r="W75" s="6">
        <f t="shared" si="19"/>
        <v>0.4</v>
      </c>
      <c r="X75" s="6">
        <f t="shared" si="19"/>
        <v>0.4</v>
      </c>
      <c r="Y75" s="6">
        <f t="shared" si="19"/>
        <v>0.4</v>
      </c>
      <c r="Z75" s="6">
        <f t="shared" si="19"/>
        <v>0.4</v>
      </c>
      <c r="AA75" s="6">
        <f t="shared" si="19"/>
        <v>0.4</v>
      </c>
      <c r="AB75" s="6">
        <f t="shared" si="19"/>
        <v>0.4</v>
      </c>
      <c r="AC75" s="6">
        <f t="shared" si="19"/>
        <v>0.4</v>
      </c>
      <c r="AD75" s="6">
        <f t="shared" si="19"/>
        <v>0.4</v>
      </c>
      <c r="AE75" s="6">
        <f t="shared" si="19"/>
        <v>0.4</v>
      </c>
      <c r="AF75" s="6">
        <f t="shared" si="19"/>
        <v>0.4</v>
      </c>
    </row>
    <row r="76" spans="1:32" s="41" customFormat="1" ht="11.25">
      <c r="A76" s="30" t="s">
        <v>99</v>
      </c>
      <c r="F76"/>
      <c r="G76">
        <f aca="true" t="shared" si="20" ref="G76:G96">G75+1</f>
        <v>2010</v>
      </c>
      <c r="I76" s="89"/>
      <c r="J76" s="6"/>
      <c r="K76" s="6"/>
      <c r="L76" s="6">
        <f t="shared" si="19"/>
        <v>0.04000000000000001</v>
      </c>
      <c r="M76" s="6">
        <f t="shared" si="19"/>
        <v>0.08000000000000002</v>
      </c>
      <c r="N76" s="6">
        <f t="shared" si="19"/>
        <v>0.12</v>
      </c>
      <c r="O76" s="6">
        <f t="shared" si="19"/>
        <v>0.16000000000000003</v>
      </c>
      <c r="P76" s="6">
        <f t="shared" si="19"/>
        <v>0.2</v>
      </c>
      <c r="Q76" s="6">
        <f t="shared" si="19"/>
        <v>0.24</v>
      </c>
      <c r="R76" s="6">
        <f t="shared" si="19"/>
        <v>0.27999999999999997</v>
      </c>
      <c r="S76" s="6">
        <f t="shared" si="19"/>
        <v>0.32000000000000006</v>
      </c>
      <c r="T76" s="6">
        <f t="shared" si="19"/>
        <v>0.36000000000000004</v>
      </c>
      <c r="U76" s="6">
        <f t="shared" si="19"/>
        <v>0.4</v>
      </c>
      <c r="V76" s="6">
        <f t="shared" si="19"/>
        <v>0.4</v>
      </c>
      <c r="W76" s="6">
        <f t="shared" si="19"/>
        <v>0.4</v>
      </c>
      <c r="X76" s="6">
        <f t="shared" si="19"/>
        <v>0.4</v>
      </c>
      <c r="Y76" s="6">
        <f t="shared" si="19"/>
        <v>0.4</v>
      </c>
      <c r="Z76" s="6">
        <f t="shared" si="19"/>
        <v>0.4</v>
      </c>
      <c r="AA76" s="6">
        <f t="shared" si="19"/>
        <v>0.4</v>
      </c>
      <c r="AB76" s="6">
        <f t="shared" si="19"/>
        <v>0.4</v>
      </c>
      <c r="AC76" s="6">
        <f t="shared" si="19"/>
        <v>0.4</v>
      </c>
      <c r="AD76" s="6">
        <f t="shared" si="19"/>
        <v>0.4</v>
      </c>
      <c r="AE76" s="6">
        <f t="shared" si="19"/>
        <v>0.4</v>
      </c>
      <c r="AF76" s="6">
        <f t="shared" si="19"/>
        <v>0.4</v>
      </c>
    </row>
    <row r="77" spans="1:32" s="41" customFormat="1" ht="11.25">
      <c r="A77" s="30" t="s">
        <v>99</v>
      </c>
      <c r="F77"/>
      <c r="G77">
        <f t="shared" si="20"/>
        <v>2011</v>
      </c>
      <c r="H77"/>
      <c r="I77" s="89"/>
      <c r="J77" s="6"/>
      <c r="K77" s="6"/>
      <c r="L77" s="6"/>
      <c r="M77" s="6">
        <f>L76</f>
        <v>0.04000000000000001</v>
      </c>
      <c r="N77" s="6">
        <f t="shared" si="19"/>
        <v>0.08000000000000002</v>
      </c>
      <c r="O77" s="6">
        <f t="shared" si="19"/>
        <v>0.12</v>
      </c>
      <c r="P77" s="6">
        <f t="shared" si="19"/>
        <v>0.16000000000000003</v>
      </c>
      <c r="Q77" s="6">
        <f t="shared" si="19"/>
        <v>0.2</v>
      </c>
      <c r="R77" s="6">
        <f t="shared" si="19"/>
        <v>0.24</v>
      </c>
      <c r="S77" s="6">
        <f t="shared" si="19"/>
        <v>0.27999999999999997</v>
      </c>
      <c r="T77" s="6">
        <f t="shared" si="19"/>
        <v>0.32000000000000006</v>
      </c>
      <c r="U77" s="6">
        <f t="shared" si="19"/>
        <v>0.36000000000000004</v>
      </c>
      <c r="V77" s="6">
        <f t="shared" si="19"/>
        <v>0.4</v>
      </c>
      <c r="W77" s="6">
        <f t="shared" si="19"/>
        <v>0.4</v>
      </c>
      <c r="X77" s="6">
        <f t="shared" si="19"/>
        <v>0.4</v>
      </c>
      <c r="Y77" s="6">
        <f t="shared" si="19"/>
        <v>0.4</v>
      </c>
      <c r="Z77" s="6">
        <f t="shared" si="19"/>
        <v>0.4</v>
      </c>
      <c r="AA77" s="6">
        <f t="shared" si="19"/>
        <v>0.4</v>
      </c>
      <c r="AB77" s="6">
        <f t="shared" si="19"/>
        <v>0.4</v>
      </c>
      <c r="AC77" s="6">
        <f t="shared" si="19"/>
        <v>0.4</v>
      </c>
      <c r="AD77" s="6">
        <f t="shared" si="19"/>
        <v>0.4</v>
      </c>
      <c r="AE77" s="6">
        <f t="shared" si="19"/>
        <v>0.4</v>
      </c>
      <c r="AF77" s="6">
        <f t="shared" si="19"/>
        <v>0.4</v>
      </c>
    </row>
    <row r="78" spans="1:32" s="41" customFormat="1" ht="11.25">
      <c r="A78" s="30" t="s">
        <v>99</v>
      </c>
      <c r="F78"/>
      <c r="G78">
        <f t="shared" si="20"/>
        <v>2012</v>
      </c>
      <c r="H78"/>
      <c r="I78" s="89"/>
      <c r="J78" s="6"/>
      <c r="K78" s="6"/>
      <c r="L78" s="6"/>
      <c r="M78" s="6"/>
      <c r="N78" s="6">
        <f>M77</f>
        <v>0.04000000000000001</v>
      </c>
      <c r="O78" s="6">
        <f t="shared" si="19"/>
        <v>0.08000000000000002</v>
      </c>
      <c r="P78" s="6">
        <f t="shared" si="19"/>
        <v>0.12</v>
      </c>
      <c r="Q78" s="6">
        <f t="shared" si="19"/>
        <v>0.16000000000000003</v>
      </c>
      <c r="R78" s="6">
        <f t="shared" si="19"/>
        <v>0.2</v>
      </c>
      <c r="S78" s="6">
        <f t="shared" si="19"/>
        <v>0.24</v>
      </c>
      <c r="T78" s="6">
        <f t="shared" si="19"/>
        <v>0.27999999999999997</v>
      </c>
      <c r="U78" s="6">
        <f t="shared" si="19"/>
        <v>0.32000000000000006</v>
      </c>
      <c r="V78" s="6">
        <f t="shared" si="19"/>
        <v>0.36000000000000004</v>
      </c>
      <c r="W78" s="6">
        <f t="shared" si="19"/>
        <v>0.4</v>
      </c>
      <c r="X78" s="6">
        <f t="shared" si="19"/>
        <v>0.4</v>
      </c>
      <c r="Y78" s="6">
        <f t="shared" si="19"/>
        <v>0.4</v>
      </c>
      <c r="Z78" s="6">
        <f t="shared" si="19"/>
        <v>0.4</v>
      </c>
      <c r="AA78" s="6">
        <f t="shared" si="19"/>
        <v>0.4</v>
      </c>
      <c r="AB78" s="6">
        <f t="shared" si="19"/>
        <v>0.4</v>
      </c>
      <c r="AC78" s="6">
        <f t="shared" si="19"/>
        <v>0.4</v>
      </c>
      <c r="AD78" s="6">
        <f t="shared" si="19"/>
        <v>0.4</v>
      </c>
      <c r="AE78" s="6">
        <f t="shared" si="19"/>
        <v>0.4</v>
      </c>
      <c r="AF78" s="6">
        <f t="shared" si="19"/>
        <v>0.4</v>
      </c>
    </row>
    <row r="79" spans="1:32" s="41" customFormat="1" ht="11.25">
      <c r="A79" s="30" t="s">
        <v>99</v>
      </c>
      <c r="F79"/>
      <c r="G79">
        <f t="shared" si="20"/>
        <v>2013</v>
      </c>
      <c r="H79"/>
      <c r="I79" s="89"/>
      <c r="J79" s="6"/>
      <c r="K79" s="6"/>
      <c r="L79" s="6"/>
      <c r="M79" s="6"/>
      <c r="N79" s="6"/>
      <c r="O79" s="6">
        <f>N78</f>
        <v>0.04000000000000001</v>
      </c>
      <c r="P79" s="6">
        <f t="shared" si="19"/>
        <v>0.08000000000000002</v>
      </c>
      <c r="Q79" s="6">
        <f t="shared" si="19"/>
        <v>0.12</v>
      </c>
      <c r="R79" s="6">
        <f t="shared" si="19"/>
        <v>0.16000000000000003</v>
      </c>
      <c r="S79" s="6">
        <f t="shared" si="19"/>
        <v>0.2</v>
      </c>
      <c r="T79" s="6">
        <f t="shared" si="19"/>
        <v>0.24</v>
      </c>
      <c r="U79" s="6">
        <f t="shared" si="19"/>
        <v>0.27999999999999997</v>
      </c>
      <c r="V79" s="6">
        <f t="shared" si="19"/>
        <v>0.32000000000000006</v>
      </c>
      <c r="W79" s="6">
        <f t="shared" si="19"/>
        <v>0.36000000000000004</v>
      </c>
      <c r="X79" s="6">
        <f t="shared" si="19"/>
        <v>0.4</v>
      </c>
      <c r="Y79" s="6">
        <f t="shared" si="19"/>
        <v>0.4</v>
      </c>
      <c r="Z79" s="6">
        <f t="shared" si="19"/>
        <v>0.4</v>
      </c>
      <c r="AA79" s="6">
        <f t="shared" si="19"/>
        <v>0.4</v>
      </c>
      <c r="AB79" s="6">
        <f t="shared" si="19"/>
        <v>0.4</v>
      </c>
      <c r="AC79" s="6">
        <f t="shared" si="19"/>
        <v>0.4</v>
      </c>
      <c r="AD79" s="6">
        <f t="shared" si="19"/>
        <v>0.4</v>
      </c>
      <c r="AE79" s="6">
        <f t="shared" si="19"/>
        <v>0.4</v>
      </c>
      <c r="AF79" s="6">
        <f t="shared" si="19"/>
        <v>0.4</v>
      </c>
    </row>
    <row r="80" spans="1:32" s="41" customFormat="1" ht="11.25">
      <c r="A80" s="30" t="s">
        <v>99</v>
      </c>
      <c r="F80"/>
      <c r="G80">
        <f t="shared" si="20"/>
        <v>2014</v>
      </c>
      <c r="H80"/>
      <c r="I80" s="89"/>
      <c r="J80" s="6"/>
      <c r="K80" s="6"/>
      <c r="L80" s="6"/>
      <c r="M80" s="6"/>
      <c r="N80" s="6"/>
      <c r="O80" s="6"/>
      <c r="P80" s="6">
        <f>O79</f>
        <v>0.04000000000000001</v>
      </c>
      <c r="Q80" s="6">
        <f t="shared" si="19"/>
        <v>0.08000000000000002</v>
      </c>
      <c r="R80" s="6">
        <f t="shared" si="19"/>
        <v>0.12</v>
      </c>
      <c r="S80" s="6">
        <f t="shared" si="19"/>
        <v>0.16000000000000003</v>
      </c>
      <c r="T80" s="6">
        <f t="shared" si="19"/>
        <v>0.2</v>
      </c>
      <c r="U80" s="6">
        <f t="shared" si="19"/>
        <v>0.24</v>
      </c>
      <c r="V80" s="6">
        <f t="shared" si="19"/>
        <v>0.27999999999999997</v>
      </c>
      <c r="W80" s="6">
        <f t="shared" si="19"/>
        <v>0.32000000000000006</v>
      </c>
      <c r="X80" s="6">
        <f t="shared" si="19"/>
        <v>0.36000000000000004</v>
      </c>
      <c r="Y80" s="6">
        <f t="shared" si="19"/>
        <v>0.4</v>
      </c>
      <c r="Z80" s="6">
        <f t="shared" si="19"/>
        <v>0.4</v>
      </c>
      <c r="AA80" s="6">
        <f t="shared" si="19"/>
        <v>0.4</v>
      </c>
      <c r="AB80" s="6">
        <f t="shared" si="19"/>
        <v>0.4</v>
      </c>
      <c r="AC80" s="6">
        <f t="shared" si="19"/>
        <v>0.4</v>
      </c>
      <c r="AD80" s="6">
        <f t="shared" si="19"/>
        <v>0.4</v>
      </c>
      <c r="AE80" s="6">
        <f t="shared" si="19"/>
        <v>0.4</v>
      </c>
      <c r="AF80" s="6">
        <f t="shared" si="19"/>
        <v>0.4</v>
      </c>
    </row>
    <row r="81" spans="1:32" s="41" customFormat="1" ht="11.25">
      <c r="A81" s="30" t="s">
        <v>99</v>
      </c>
      <c r="F81"/>
      <c r="G81">
        <f t="shared" si="20"/>
        <v>2015</v>
      </c>
      <c r="H81"/>
      <c r="I81" s="89"/>
      <c r="J81" s="6"/>
      <c r="K81" s="6"/>
      <c r="L81" s="6"/>
      <c r="M81" s="6"/>
      <c r="N81" s="6"/>
      <c r="O81" s="6"/>
      <c r="P81" s="6"/>
      <c r="Q81" s="6">
        <f>P80</f>
        <v>0.04000000000000001</v>
      </c>
      <c r="R81" s="6">
        <f t="shared" si="19"/>
        <v>0.08000000000000002</v>
      </c>
      <c r="S81" s="6">
        <f t="shared" si="19"/>
        <v>0.12</v>
      </c>
      <c r="T81" s="6">
        <f t="shared" si="19"/>
        <v>0.16000000000000003</v>
      </c>
      <c r="U81" s="6">
        <f t="shared" si="19"/>
        <v>0.2</v>
      </c>
      <c r="V81" s="6">
        <f t="shared" si="19"/>
        <v>0.24</v>
      </c>
      <c r="W81" s="6">
        <f t="shared" si="19"/>
        <v>0.27999999999999997</v>
      </c>
      <c r="X81" s="6">
        <f t="shared" si="19"/>
        <v>0.32000000000000006</v>
      </c>
      <c r="Y81" s="6">
        <f t="shared" si="19"/>
        <v>0.36000000000000004</v>
      </c>
      <c r="Z81" s="6">
        <f t="shared" si="19"/>
        <v>0.4</v>
      </c>
      <c r="AA81" s="6">
        <f t="shared" si="19"/>
        <v>0.4</v>
      </c>
      <c r="AB81" s="6">
        <f t="shared" si="19"/>
        <v>0.4</v>
      </c>
      <c r="AC81" s="6">
        <f t="shared" si="19"/>
        <v>0.4</v>
      </c>
      <c r="AD81" s="6">
        <f t="shared" si="19"/>
        <v>0.4</v>
      </c>
      <c r="AE81" s="6">
        <f t="shared" si="19"/>
        <v>0.4</v>
      </c>
      <c r="AF81" s="6">
        <f t="shared" si="19"/>
        <v>0.4</v>
      </c>
    </row>
    <row r="82" spans="1:32" s="41" customFormat="1" ht="11.25">
      <c r="A82" s="30" t="s">
        <v>99</v>
      </c>
      <c r="F82"/>
      <c r="G82">
        <f t="shared" si="20"/>
        <v>2016</v>
      </c>
      <c r="H82"/>
      <c r="I82" s="89"/>
      <c r="J82" s="6"/>
      <c r="K82" s="6"/>
      <c r="L82" s="6"/>
      <c r="M82" s="6"/>
      <c r="N82" s="32"/>
      <c r="O82" s="6"/>
      <c r="P82" s="6"/>
      <c r="Q82" s="6"/>
      <c r="R82" s="6">
        <f>Q81</f>
        <v>0.04000000000000001</v>
      </c>
      <c r="S82" s="6">
        <f t="shared" si="19"/>
        <v>0.08000000000000002</v>
      </c>
      <c r="T82" s="6">
        <f t="shared" si="19"/>
        <v>0.12</v>
      </c>
      <c r="U82" s="6">
        <f t="shared" si="19"/>
        <v>0.16000000000000003</v>
      </c>
      <c r="V82" s="6">
        <f t="shared" si="19"/>
        <v>0.2</v>
      </c>
      <c r="W82" s="6">
        <f t="shared" si="19"/>
        <v>0.24</v>
      </c>
      <c r="X82" s="6">
        <f t="shared" si="19"/>
        <v>0.27999999999999997</v>
      </c>
      <c r="Y82" s="6">
        <f t="shared" si="19"/>
        <v>0.32000000000000006</v>
      </c>
      <c r="Z82" s="6">
        <f t="shared" si="19"/>
        <v>0.36000000000000004</v>
      </c>
      <c r="AA82" s="6">
        <f t="shared" si="19"/>
        <v>0.4</v>
      </c>
      <c r="AB82" s="6">
        <f t="shared" si="19"/>
        <v>0.4</v>
      </c>
      <c r="AC82" s="6">
        <f t="shared" si="19"/>
        <v>0.4</v>
      </c>
      <c r="AD82" s="6">
        <f t="shared" si="19"/>
        <v>0.4</v>
      </c>
      <c r="AE82" s="6">
        <f t="shared" si="19"/>
        <v>0.4</v>
      </c>
      <c r="AF82" s="6">
        <f t="shared" si="19"/>
        <v>0.4</v>
      </c>
    </row>
    <row r="83" spans="1:32" s="41" customFormat="1" ht="11.25">
      <c r="A83" s="30" t="s">
        <v>99</v>
      </c>
      <c r="F83"/>
      <c r="G83">
        <f t="shared" si="20"/>
        <v>2017</v>
      </c>
      <c r="H83"/>
      <c r="I83" s="89"/>
      <c r="J83" s="6"/>
      <c r="K83" s="6"/>
      <c r="L83" s="6"/>
      <c r="M83" s="6"/>
      <c r="N83" s="32"/>
      <c r="O83" s="6"/>
      <c r="P83" s="6"/>
      <c r="Q83" s="6"/>
      <c r="R83" s="6"/>
      <c r="S83" s="6">
        <f>R82</f>
        <v>0.04000000000000001</v>
      </c>
      <c r="T83" s="6">
        <f t="shared" si="19"/>
        <v>0.08000000000000002</v>
      </c>
      <c r="U83" s="6">
        <f t="shared" si="19"/>
        <v>0.12</v>
      </c>
      <c r="V83" s="6">
        <f t="shared" si="19"/>
        <v>0.16000000000000003</v>
      </c>
      <c r="W83" s="6">
        <f t="shared" si="19"/>
        <v>0.2</v>
      </c>
      <c r="X83" s="6">
        <f t="shared" si="19"/>
        <v>0.24</v>
      </c>
      <c r="Y83" s="6">
        <f t="shared" si="19"/>
        <v>0.27999999999999997</v>
      </c>
      <c r="Z83" s="6">
        <f t="shared" si="19"/>
        <v>0.32000000000000006</v>
      </c>
      <c r="AA83" s="6">
        <f t="shared" si="19"/>
        <v>0.36000000000000004</v>
      </c>
      <c r="AB83" s="6">
        <f t="shared" si="19"/>
        <v>0.4</v>
      </c>
      <c r="AC83" s="6">
        <f t="shared" si="19"/>
        <v>0.4</v>
      </c>
      <c r="AD83" s="6">
        <f t="shared" si="19"/>
        <v>0.4</v>
      </c>
      <c r="AE83" s="6">
        <f t="shared" si="19"/>
        <v>0.4</v>
      </c>
      <c r="AF83" s="6">
        <f t="shared" si="19"/>
        <v>0.4</v>
      </c>
    </row>
    <row r="84" spans="1:32" s="41" customFormat="1" ht="11.25">
      <c r="A84" s="30" t="s">
        <v>99</v>
      </c>
      <c r="F84"/>
      <c r="G84">
        <f t="shared" si="20"/>
        <v>2018</v>
      </c>
      <c r="H84"/>
      <c r="I84" s="89"/>
      <c r="J84" s="6"/>
      <c r="K84" s="6"/>
      <c r="L84" s="6"/>
      <c r="M84" s="6"/>
      <c r="N84" s="32"/>
      <c r="O84" s="6"/>
      <c r="P84" s="6"/>
      <c r="Q84" s="6"/>
      <c r="R84" s="6"/>
      <c r="S84" s="6"/>
      <c r="T84" s="6">
        <f>S83</f>
        <v>0.04000000000000001</v>
      </c>
      <c r="U84" s="6">
        <f t="shared" si="19"/>
        <v>0.08000000000000002</v>
      </c>
      <c r="V84" s="6">
        <f t="shared" si="19"/>
        <v>0.12</v>
      </c>
      <c r="W84" s="6">
        <f t="shared" si="19"/>
        <v>0.16000000000000003</v>
      </c>
      <c r="X84" s="6">
        <f t="shared" si="19"/>
        <v>0.2</v>
      </c>
      <c r="Y84" s="6">
        <f t="shared" si="19"/>
        <v>0.24</v>
      </c>
      <c r="Z84" s="6">
        <f t="shared" si="19"/>
        <v>0.27999999999999997</v>
      </c>
      <c r="AA84" s="6">
        <f t="shared" si="19"/>
        <v>0.32000000000000006</v>
      </c>
      <c r="AB84" s="6">
        <f t="shared" si="19"/>
        <v>0.36000000000000004</v>
      </c>
      <c r="AC84" s="6">
        <f t="shared" si="19"/>
        <v>0.4</v>
      </c>
      <c r="AD84" s="6">
        <f t="shared" si="19"/>
        <v>0.4</v>
      </c>
      <c r="AE84" s="6">
        <f t="shared" si="19"/>
        <v>0.4</v>
      </c>
      <c r="AF84" s="6">
        <f t="shared" si="19"/>
        <v>0.4</v>
      </c>
    </row>
    <row r="85" spans="1:32" s="41" customFormat="1" ht="11.25">
      <c r="A85" s="30" t="s">
        <v>99</v>
      </c>
      <c r="F85"/>
      <c r="G85">
        <f t="shared" si="20"/>
        <v>2019</v>
      </c>
      <c r="H85"/>
      <c r="I85" s="89"/>
      <c r="J85" s="6"/>
      <c r="K85" s="6"/>
      <c r="L85" s="6"/>
      <c r="M85" s="6"/>
      <c r="N85" s="32"/>
      <c r="O85" s="6"/>
      <c r="P85" s="6"/>
      <c r="Q85" s="6"/>
      <c r="R85" s="6"/>
      <c r="S85" s="6"/>
      <c r="T85" s="6"/>
      <c r="U85" s="6">
        <f>T84</f>
        <v>0.04000000000000001</v>
      </c>
      <c r="V85" s="6">
        <f t="shared" si="19"/>
        <v>0.08000000000000002</v>
      </c>
      <c r="W85" s="6">
        <f t="shared" si="19"/>
        <v>0.12</v>
      </c>
      <c r="X85" s="6">
        <f t="shared" si="19"/>
        <v>0.16000000000000003</v>
      </c>
      <c r="Y85" s="6">
        <f t="shared" si="19"/>
        <v>0.2</v>
      </c>
      <c r="Z85" s="6">
        <f t="shared" si="19"/>
        <v>0.24</v>
      </c>
      <c r="AA85" s="6">
        <f t="shared" si="19"/>
        <v>0.27999999999999997</v>
      </c>
      <c r="AB85" s="6">
        <f t="shared" si="19"/>
        <v>0.32000000000000006</v>
      </c>
      <c r="AC85" s="6">
        <f t="shared" si="19"/>
        <v>0.36000000000000004</v>
      </c>
      <c r="AD85" s="6">
        <f t="shared" si="19"/>
        <v>0.4</v>
      </c>
      <c r="AE85" s="6">
        <f t="shared" si="19"/>
        <v>0.4</v>
      </c>
      <c r="AF85" s="6">
        <f t="shared" si="19"/>
        <v>0.4</v>
      </c>
    </row>
    <row r="86" spans="1:32" s="41" customFormat="1" ht="11.25">
      <c r="A86" s="30" t="s">
        <v>99</v>
      </c>
      <c r="F86"/>
      <c r="G86">
        <f t="shared" si="20"/>
        <v>2020</v>
      </c>
      <c r="H86"/>
      <c r="I86" s="89"/>
      <c r="J86" s="6"/>
      <c r="K86" s="6"/>
      <c r="L86" s="6"/>
      <c r="M86" s="6"/>
      <c r="N86" s="32"/>
      <c r="O86" s="6"/>
      <c r="P86" s="6"/>
      <c r="Q86" s="6"/>
      <c r="R86" s="6"/>
      <c r="S86" s="6"/>
      <c r="T86" s="6"/>
      <c r="U86" s="6"/>
      <c r="V86" s="6">
        <f>U85</f>
        <v>0.04000000000000001</v>
      </c>
      <c r="W86" s="6">
        <f t="shared" si="19"/>
        <v>0.08000000000000002</v>
      </c>
      <c r="X86" s="6">
        <f t="shared" si="19"/>
        <v>0.12</v>
      </c>
      <c r="Y86" s="6">
        <f t="shared" si="19"/>
        <v>0.16000000000000003</v>
      </c>
      <c r="Z86" s="6">
        <f t="shared" si="19"/>
        <v>0.2</v>
      </c>
      <c r="AA86" s="6">
        <f t="shared" si="19"/>
        <v>0.24</v>
      </c>
      <c r="AB86" s="6">
        <f t="shared" si="19"/>
        <v>0.27999999999999997</v>
      </c>
      <c r="AC86" s="6">
        <f t="shared" si="19"/>
        <v>0.32000000000000006</v>
      </c>
      <c r="AD86" s="6">
        <f t="shared" si="19"/>
        <v>0.36000000000000004</v>
      </c>
      <c r="AE86" s="6">
        <f t="shared" si="19"/>
        <v>0.4</v>
      </c>
      <c r="AF86" s="6">
        <f t="shared" si="19"/>
        <v>0.4</v>
      </c>
    </row>
    <row r="87" spans="1:32" s="41" customFormat="1" ht="11.25">
      <c r="A87" s="30" t="s">
        <v>99</v>
      </c>
      <c r="F87"/>
      <c r="G87">
        <f t="shared" si="20"/>
        <v>2021</v>
      </c>
      <c r="H87"/>
      <c r="I87" s="89"/>
      <c r="J87" s="6"/>
      <c r="K87" s="6"/>
      <c r="L87" s="6"/>
      <c r="M87" s="6"/>
      <c r="N87" s="32"/>
      <c r="O87" s="6"/>
      <c r="P87" s="6"/>
      <c r="Q87" s="6"/>
      <c r="R87" s="6"/>
      <c r="S87" s="6"/>
      <c r="T87" s="6"/>
      <c r="U87" s="6"/>
      <c r="V87" s="6"/>
      <c r="W87" s="6">
        <f aca="true" t="shared" si="21" ref="W87:AF87">V86</f>
        <v>0.04000000000000001</v>
      </c>
      <c r="X87" s="6">
        <f t="shared" si="21"/>
        <v>0.08000000000000002</v>
      </c>
      <c r="Y87" s="6">
        <f t="shared" si="21"/>
        <v>0.12</v>
      </c>
      <c r="Z87" s="6">
        <f t="shared" si="21"/>
        <v>0.16000000000000003</v>
      </c>
      <c r="AA87" s="6">
        <f t="shared" si="21"/>
        <v>0.2</v>
      </c>
      <c r="AB87" s="6">
        <f t="shared" si="21"/>
        <v>0.24</v>
      </c>
      <c r="AC87" s="6">
        <f t="shared" si="21"/>
        <v>0.27999999999999997</v>
      </c>
      <c r="AD87" s="6">
        <f t="shared" si="21"/>
        <v>0.32000000000000006</v>
      </c>
      <c r="AE87" s="6">
        <f t="shared" si="21"/>
        <v>0.36000000000000004</v>
      </c>
      <c r="AF87" s="6">
        <f t="shared" si="21"/>
        <v>0.4</v>
      </c>
    </row>
    <row r="88" spans="1:32" s="41" customFormat="1" ht="11.25">
      <c r="A88" s="30" t="s">
        <v>99</v>
      </c>
      <c r="F88"/>
      <c r="G88">
        <f t="shared" si="20"/>
        <v>2022</v>
      </c>
      <c r="H88"/>
      <c r="I88" s="89"/>
      <c r="J88" s="6"/>
      <c r="K88" s="6"/>
      <c r="L88" s="6"/>
      <c r="M88" s="6"/>
      <c r="N88" s="32"/>
      <c r="O88" s="6"/>
      <c r="P88" s="6"/>
      <c r="Q88" s="6"/>
      <c r="R88" s="6"/>
      <c r="S88" s="6"/>
      <c r="T88" s="6"/>
      <c r="U88" s="6"/>
      <c r="V88" s="6"/>
      <c r="W88" s="6"/>
      <c r="X88" s="6">
        <f aca="true" t="shared" si="22" ref="X88:AF88">W87</f>
        <v>0.04000000000000001</v>
      </c>
      <c r="Y88" s="6">
        <f t="shared" si="22"/>
        <v>0.08000000000000002</v>
      </c>
      <c r="Z88" s="6">
        <f t="shared" si="22"/>
        <v>0.12</v>
      </c>
      <c r="AA88" s="6">
        <f t="shared" si="22"/>
        <v>0.16000000000000003</v>
      </c>
      <c r="AB88" s="6">
        <f t="shared" si="22"/>
        <v>0.2</v>
      </c>
      <c r="AC88" s="6">
        <f t="shared" si="22"/>
        <v>0.24</v>
      </c>
      <c r="AD88" s="6">
        <f t="shared" si="22"/>
        <v>0.27999999999999997</v>
      </c>
      <c r="AE88" s="6">
        <f t="shared" si="22"/>
        <v>0.32000000000000006</v>
      </c>
      <c r="AF88" s="6">
        <f t="shared" si="22"/>
        <v>0.36000000000000004</v>
      </c>
    </row>
    <row r="89" spans="1:32" s="41" customFormat="1" ht="11.25">
      <c r="A89" s="30" t="s">
        <v>99</v>
      </c>
      <c r="F89"/>
      <c r="G89">
        <f t="shared" si="20"/>
        <v>2023</v>
      </c>
      <c r="H89"/>
      <c r="I89" s="89"/>
      <c r="J89" s="6"/>
      <c r="K89" s="6"/>
      <c r="L89" s="6"/>
      <c r="M89" s="6"/>
      <c r="N89" s="32"/>
      <c r="O89" s="6"/>
      <c r="P89" s="6"/>
      <c r="Q89" s="6"/>
      <c r="R89" s="6"/>
      <c r="S89" s="6"/>
      <c r="T89" s="6"/>
      <c r="U89" s="6"/>
      <c r="V89" s="6"/>
      <c r="W89" s="6"/>
      <c r="X89" s="6"/>
      <c r="Y89" s="6">
        <f>X88</f>
        <v>0.04000000000000001</v>
      </c>
      <c r="Z89" s="6">
        <f aca="true" t="shared" si="23" ref="Z89:AF94">Y88</f>
        <v>0.08000000000000002</v>
      </c>
      <c r="AA89" s="6">
        <f t="shared" si="23"/>
        <v>0.12</v>
      </c>
      <c r="AB89" s="6">
        <f t="shared" si="23"/>
        <v>0.16000000000000003</v>
      </c>
      <c r="AC89" s="6">
        <f t="shared" si="23"/>
        <v>0.2</v>
      </c>
      <c r="AD89" s="6">
        <f t="shared" si="23"/>
        <v>0.24</v>
      </c>
      <c r="AE89" s="6">
        <f t="shared" si="23"/>
        <v>0.27999999999999997</v>
      </c>
      <c r="AF89" s="6">
        <f t="shared" si="23"/>
        <v>0.32000000000000006</v>
      </c>
    </row>
    <row r="90" spans="1:32" s="41" customFormat="1" ht="11.25">
      <c r="A90" s="30" t="s">
        <v>99</v>
      </c>
      <c r="F90"/>
      <c r="G90">
        <f t="shared" si="20"/>
        <v>2024</v>
      </c>
      <c r="H90" s="6"/>
      <c r="I90" s="89"/>
      <c r="J90" s="6"/>
      <c r="K90" s="6"/>
      <c r="L90" s="6"/>
      <c r="M90" s="6"/>
      <c r="N90" s="32"/>
      <c r="O90" s="6"/>
      <c r="P90" s="6"/>
      <c r="Q90" s="6"/>
      <c r="R90" s="6"/>
      <c r="S90" s="6"/>
      <c r="T90" s="6"/>
      <c r="U90" s="6"/>
      <c r="V90" s="6"/>
      <c r="W90" s="6"/>
      <c r="X90" s="6"/>
      <c r="Y90" s="6"/>
      <c r="Z90" s="6">
        <f>Y89</f>
        <v>0.04000000000000001</v>
      </c>
      <c r="AA90" s="6">
        <f t="shared" si="23"/>
        <v>0.08000000000000002</v>
      </c>
      <c r="AB90" s="6">
        <f t="shared" si="23"/>
        <v>0.12</v>
      </c>
      <c r="AC90" s="6">
        <f t="shared" si="23"/>
        <v>0.16000000000000003</v>
      </c>
      <c r="AD90" s="6">
        <f t="shared" si="23"/>
        <v>0.2</v>
      </c>
      <c r="AE90" s="6">
        <f t="shared" si="23"/>
        <v>0.24</v>
      </c>
      <c r="AF90" s="6">
        <f t="shared" si="23"/>
        <v>0.27999999999999997</v>
      </c>
    </row>
    <row r="91" spans="1:32" s="41" customFormat="1" ht="11.25">
      <c r="A91" s="30" t="s">
        <v>99</v>
      </c>
      <c r="F91"/>
      <c r="G91">
        <f t="shared" si="20"/>
        <v>2025</v>
      </c>
      <c r="H91" s="6"/>
      <c r="I91" s="33"/>
      <c r="J91" s="6"/>
      <c r="K91" s="6"/>
      <c r="L91" s="6"/>
      <c r="M91" s="6"/>
      <c r="N91" s="32"/>
      <c r="O91" s="6"/>
      <c r="P91" s="6"/>
      <c r="Q91" s="6"/>
      <c r="R91" s="6"/>
      <c r="S91" s="6"/>
      <c r="T91" s="6"/>
      <c r="U91" s="6"/>
      <c r="V91" s="6"/>
      <c r="W91" s="6"/>
      <c r="X91" s="6"/>
      <c r="Y91" s="6"/>
      <c r="Z91" s="6"/>
      <c r="AA91" s="6">
        <f>Z90</f>
        <v>0.04000000000000001</v>
      </c>
      <c r="AB91" s="6">
        <f t="shared" si="23"/>
        <v>0.08000000000000002</v>
      </c>
      <c r="AC91" s="6">
        <f t="shared" si="23"/>
        <v>0.12</v>
      </c>
      <c r="AD91" s="6">
        <f t="shared" si="23"/>
        <v>0.16000000000000003</v>
      </c>
      <c r="AE91" s="6">
        <f t="shared" si="23"/>
        <v>0.2</v>
      </c>
      <c r="AF91" s="6">
        <f t="shared" si="23"/>
        <v>0.24</v>
      </c>
    </row>
    <row r="92" spans="1:32" s="41" customFormat="1" ht="11.25">
      <c r="A92" s="30" t="s">
        <v>99</v>
      </c>
      <c r="F92"/>
      <c r="G92">
        <f t="shared" si="20"/>
        <v>2026</v>
      </c>
      <c r="H92" s="6"/>
      <c r="I92" s="33"/>
      <c r="J92" s="6"/>
      <c r="K92" s="6"/>
      <c r="L92" s="6"/>
      <c r="M92" s="6"/>
      <c r="N92" s="32"/>
      <c r="O92" s="6"/>
      <c r="P92" s="6"/>
      <c r="Q92" s="6"/>
      <c r="R92" s="6"/>
      <c r="S92" s="6"/>
      <c r="T92" s="6"/>
      <c r="U92" s="6"/>
      <c r="V92" s="6"/>
      <c r="W92" s="6"/>
      <c r="X92" s="6"/>
      <c r="Y92" s="6"/>
      <c r="Z92" s="6"/>
      <c r="AA92" s="6"/>
      <c r="AB92" s="6">
        <f>AA91</f>
        <v>0.04000000000000001</v>
      </c>
      <c r="AC92" s="6">
        <f t="shared" si="23"/>
        <v>0.08000000000000002</v>
      </c>
      <c r="AD92" s="6">
        <f t="shared" si="23"/>
        <v>0.12</v>
      </c>
      <c r="AE92" s="6">
        <f t="shared" si="23"/>
        <v>0.16000000000000003</v>
      </c>
      <c r="AF92" s="6">
        <f t="shared" si="23"/>
        <v>0.2</v>
      </c>
    </row>
    <row r="93" spans="1:32" s="41" customFormat="1" ht="11.25">
      <c r="A93" s="30" t="s">
        <v>99</v>
      </c>
      <c r="F93"/>
      <c r="G93">
        <f t="shared" si="20"/>
        <v>2027</v>
      </c>
      <c r="H93" s="6"/>
      <c r="I93" s="33"/>
      <c r="J93" s="6"/>
      <c r="K93" s="6"/>
      <c r="L93" s="6"/>
      <c r="M93" s="6"/>
      <c r="N93" s="32"/>
      <c r="O93" s="6"/>
      <c r="P93" s="6"/>
      <c r="Q93" s="6"/>
      <c r="R93" s="6"/>
      <c r="S93" s="6"/>
      <c r="T93" s="6"/>
      <c r="U93" s="6"/>
      <c r="V93" s="6"/>
      <c r="W93" s="6"/>
      <c r="X93" s="6"/>
      <c r="Y93" s="6"/>
      <c r="Z93" s="6"/>
      <c r="AA93" s="6"/>
      <c r="AB93" s="6"/>
      <c r="AC93" s="6">
        <f>AB92</f>
        <v>0.04000000000000001</v>
      </c>
      <c r="AD93" s="6">
        <f t="shared" si="23"/>
        <v>0.08000000000000002</v>
      </c>
      <c r="AE93" s="6">
        <f t="shared" si="23"/>
        <v>0.12</v>
      </c>
      <c r="AF93" s="6">
        <f t="shared" si="23"/>
        <v>0.16000000000000003</v>
      </c>
    </row>
    <row r="94" spans="1:32" s="41" customFormat="1" ht="11.25">
      <c r="A94" s="30" t="s">
        <v>99</v>
      </c>
      <c r="F94"/>
      <c r="G94">
        <f t="shared" si="20"/>
        <v>2028</v>
      </c>
      <c r="H94" s="6"/>
      <c r="I94" s="33"/>
      <c r="J94" s="6"/>
      <c r="K94" s="6"/>
      <c r="L94" s="6"/>
      <c r="M94" s="6"/>
      <c r="N94" s="32"/>
      <c r="O94" s="6"/>
      <c r="P94" s="6"/>
      <c r="Q94" s="6"/>
      <c r="R94" s="6"/>
      <c r="S94" s="6"/>
      <c r="T94" s="6"/>
      <c r="U94" s="6"/>
      <c r="V94" s="6"/>
      <c r="W94" s="6"/>
      <c r="X94" s="6"/>
      <c r="Y94" s="6"/>
      <c r="Z94" s="6"/>
      <c r="AA94" s="6"/>
      <c r="AB94" s="6"/>
      <c r="AC94" s="6"/>
      <c r="AD94" s="6">
        <f>AC93</f>
        <v>0.04000000000000001</v>
      </c>
      <c r="AE94" s="6">
        <f t="shared" si="23"/>
        <v>0.08000000000000002</v>
      </c>
      <c r="AF94" s="6">
        <f t="shared" si="23"/>
        <v>0.12</v>
      </c>
    </row>
    <row r="95" spans="1:32" s="41" customFormat="1" ht="11.25">
      <c r="A95" s="30" t="s">
        <v>99</v>
      </c>
      <c r="F95"/>
      <c r="G95">
        <f t="shared" si="20"/>
        <v>2029</v>
      </c>
      <c r="H95" s="6"/>
      <c r="I95" s="33"/>
      <c r="J95" s="6"/>
      <c r="K95" s="6"/>
      <c r="L95" s="6"/>
      <c r="M95" s="6"/>
      <c r="N95" s="32"/>
      <c r="O95" s="6"/>
      <c r="P95" s="6"/>
      <c r="Q95" s="6"/>
      <c r="R95" s="6"/>
      <c r="S95" s="6"/>
      <c r="T95" s="6"/>
      <c r="U95" s="6"/>
      <c r="V95" s="6"/>
      <c r="W95" s="6"/>
      <c r="X95" s="6"/>
      <c r="Y95" s="6"/>
      <c r="Z95" s="6"/>
      <c r="AA95" s="6"/>
      <c r="AB95" s="6"/>
      <c r="AC95" s="6"/>
      <c r="AD95" s="6"/>
      <c r="AE95" s="6">
        <f>AD94</f>
        <v>0.04000000000000001</v>
      </c>
      <c r="AF95" s="6">
        <f>AE94</f>
        <v>0.08000000000000002</v>
      </c>
    </row>
    <row r="96" spans="1:32" s="41" customFormat="1" ht="11.25">
      <c r="A96" s="30" t="s">
        <v>99</v>
      </c>
      <c r="F96"/>
      <c r="G96">
        <f t="shared" si="20"/>
        <v>2030</v>
      </c>
      <c r="H96" s="6"/>
      <c r="I96" s="33"/>
      <c r="J96" s="6"/>
      <c r="K96" s="6"/>
      <c r="L96" s="6"/>
      <c r="M96" s="6"/>
      <c r="N96" s="32"/>
      <c r="O96" s="6"/>
      <c r="P96" s="6"/>
      <c r="Q96" s="6"/>
      <c r="R96" s="6"/>
      <c r="S96" s="6"/>
      <c r="T96" s="6"/>
      <c r="U96" s="6"/>
      <c r="V96" s="6"/>
      <c r="W96" s="6"/>
      <c r="X96" s="6"/>
      <c r="Y96" s="6"/>
      <c r="Z96" s="6"/>
      <c r="AA96" s="6"/>
      <c r="AB96" s="6"/>
      <c r="AC96" s="6"/>
      <c r="AD96" s="6"/>
      <c r="AE96" s="6"/>
      <c r="AF96" s="6">
        <f>AE95</f>
        <v>0.04000000000000001</v>
      </c>
    </row>
    <row r="97" spans="1:9" s="41" customFormat="1" ht="11.25">
      <c r="A97" s="43"/>
      <c r="H97"/>
      <c r="I97" s="33"/>
    </row>
    <row r="98" spans="1:32" s="42" customFormat="1" ht="11.25">
      <c r="A98" s="44" t="s">
        <v>60</v>
      </c>
      <c r="F98"/>
      <c r="G98">
        <f>G74</f>
        <v>2008</v>
      </c>
      <c r="H98"/>
      <c r="I98" s="33"/>
      <c r="J98" s="16">
        <f aca="true" t="shared" si="24" ref="J98:AF98">(1+$J$63)^(-J74)</f>
        <v>0.9973292717812361</v>
      </c>
      <c r="K98" s="16">
        <f t="shared" si="24"/>
        <v>0.9946656763516905</v>
      </c>
      <c r="L98" s="16">
        <f t="shared" si="24"/>
        <v>0.9920091946616221</v>
      </c>
      <c r="M98" s="16">
        <f t="shared" si="24"/>
        <v>0.9893598077121658</v>
      </c>
      <c r="N98" s="16">
        <f t="shared" si="24"/>
        <v>0.986717496555198</v>
      </c>
      <c r="O98" s="16">
        <f t="shared" si="24"/>
        <v>0.9840822422931997</v>
      </c>
      <c r="P98" s="16">
        <f t="shared" si="24"/>
        <v>0.9814540260791228</v>
      </c>
      <c r="Q98" s="16">
        <f t="shared" si="24"/>
        <v>0.9788328291162538</v>
      </c>
      <c r="R98" s="16">
        <f t="shared" si="24"/>
        <v>0.9762186326580802</v>
      </c>
      <c r="S98" s="16">
        <f t="shared" si="24"/>
        <v>0.973611418008157</v>
      </c>
      <c r="T98" s="16">
        <f t="shared" si="24"/>
        <v>0.973611418008157</v>
      </c>
      <c r="U98" s="16">
        <f t="shared" si="24"/>
        <v>0.973611418008157</v>
      </c>
      <c r="V98" s="16">
        <f t="shared" si="24"/>
        <v>0.973611418008157</v>
      </c>
      <c r="W98" s="16">
        <f t="shared" si="24"/>
        <v>0.973611418008157</v>
      </c>
      <c r="X98" s="16">
        <f t="shared" si="24"/>
        <v>0.973611418008157</v>
      </c>
      <c r="Y98" s="16">
        <f t="shared" si="24"/>
        <v>0.973611418008157</v>
      </c>
      <c r="Z98" s="16">
        <f t="shared" si="24"/>
        <v>0.973611418008157</v>
      </c>
      <c r="AA98" s="16">
        <f t="shared" si="24"/>
        <v>0.973611418008157</v>
      </c>
      <c r="AB98" s="16">
        <f t="shared" si="24"/>
        <v>0.973611418008157</v>
      </c>
      <c r="AC98" s="16">
        <f t="shared" si="24"/>
        <v>0.973611418008157</v>
      </c>
      <c r="AD98" s="16">
        <f t="shared" si="24"/>
        <v>0.973611418008157</v>
      </c>
      <c r="AE98" s="16">
        <f t="shared" si="24"/>
        <v>0.973611418008157</v>
      </c>
      <c r="AF98" s="16">
        <f t="shared" si="24"/>
        <v>0.973611418008157</v>
      </c>
    </row>
    <row r="99" spans="1:32" ht="11.25">
      <c r="A99" s="44" t="s">
        <v>60</v>
      </c>
      <c r="B99" s="44"/>
      <c r="G99">
        <f aca="true" t="shared" si="25" ref="G99:G120">G75</f>
        <v>2009</v>
      </c>
      <c r="J99" s="16">
        <f>(1+$J$63)^(-J75)</f>
        <v>1</v>
      </c>
      <c r="K99" s="16">
        <f>(1+$K$63)^(-K75)</f>
        <v>0.9975228024855922</v>
      </c>
      <c r="L99" s="16">
        <f>(1+$K$63)^(-L75)</f>
        <v>0.9950517414787101</v>
      </c>
      <c r="M99" s="16">
        <f>(1+$K$63)^(-M75)</f>
        <v>0.9925868017780118</v>
      </c>
      <c r="N99" s="16">
        <f>(1+$K$63)^(-N75)</f>
        <v>0.9901279682198135</v>
      </c>
      <c r="O99" s="16">
        <f>(1+$K$63)^(-O75)</f>
        <v>0.9876752256779939</v>
      </c>
      <c r="P99" s="16">
        <f aca="true" t="shared" si="26" ref="P99:AF99">(1+$K$63)^(-P75)</f>
        <v>0.9852285590639024</v>
      </c>
      <c r="Q99" s="16">
        <f t="shared" si="26"/>
        <v>0.9827879533262659</v>
      </c>
      <c r="R99" s="16">
        <f t="shared" si="26"/>
        <v>0.9803533934510963</v>
      </c>
      <c r="S99" s="16">
        <f t="shared" si="26"/>
        <v>0.9779248644615981</v>
      </c>
      <c r="T99" s="16">
        <f t="shared" si="26"/>
        <v>0.9755023514180762</v>
      </c>
      <c r="U99" s="16">
        <f t="shared" si="26"/>
        <v>0.9755023514180762</v>
      </c>
      <c r="V99" s="16">
        <f t="shared" si="26"/>
        <v>0.9755023514180762</v>
      </c>
      <c r="W99" s="16">
        <f t="shared" si="26"/>
        <v>0.9755023514180762</v>
      </c>
      <c r="X99" s="16">
        <f t="shared" si="26"/>
        <v>0.9755023514180762</v>
      </c>
      <c r="Y99" s="16">
        <f t="shared" si="26"/>
        <v>0.9755023514180762</v>
      </c>
      <c r="Z99" s="16">
        <f t="shared" si="26"/>
        <v>0.9755023514180762</v>
      </c>
      <c r="AA99" s="16">
        <f t="shared" si="26"/>
        <v>0.9755023514180762</v>
      </c>
      <c r="AB99" s="16">
        <f t="shared" si="26"/>
        <v>0.9755023514180762</v>
      </c>
      <c r="AC99" s="16">
        <f t="shared" si="26"/>
        <v>0.9755023514180762</v>
      </c>
      <c r="AD99" s="16">
        <f t="shared" si="26"/>
        <v>0.9755023514180762</v>
      </c>
      <c r="AE99" s="16">
        <f t="shared" si="26"/>
        <v>0.9755023514180762</v>
      </c>
      <c r="AF99" s="16">
        <f t="shared" si="26"/>
        <v>0.9755023514180762</v>
      </c>
    </row>
    <row r="100" spans="1:33" ht="11.25">
      <c r="A100" s="44" t="s">
        <v>60</v>
      </c>
      <c r="B100" s="44"/>
      <c r="G100">
        <f t="shared" si="25"/>
        <v>2010</v>
      </c>
      <c r="H100" s="3"/>
      <c r="I100" s="77"/>
      <c r="J100" s="16">
        <f aca="true" t="shared" si="27" ref="J100:J120">(1+$J$63)^(-J76)</f>
        <v>1</v>
      </c>
      <c r="K100" s="16">
        <f aca="true" t="shared" si="28" ref="K100:K120">(1+$K$63)^(-K76)</f>
        <v>1</v>
      </c>
      <c r="L100" s="17">
        <f aca="true" t="shared" si="29" ref="L100:AF100">(1+$L$63)^(-L76)</f>
        <v>0.9976917434468838</v>
      </c>
      <c r="M100" s="17">
        <f t="shared" si="29"/>
        <v>0.9953888149420826</v>
      </c>
      <c r="N100" s="17">
        <f t="shared" si="29"/>
        <v>0.9930912021870938</v>
      </c>
      <c r="O100" s="17">
        <f t="shared" si="29"/>
        <v>0.9907988929118032</v>
      </c>
      <c r="P100" s="17">
        <f t="shared" si="29"/>
        <v>0.9885118748744193</v>
      </c>
      <c r="Q100" s="17">
        <f t="shared" si="29"/>
        <v>0.9862301358614073</v>
      </c>
      <c r="R100" s="17">
        <f t="shared" si="29"/>
        <v>0.9839536636874244</v>
      </c>
      <c r="S100" s="17">
        <f t="shared" si="29"/>
        <v>0.9816824461952551</v>
      </c>
      <c r="T100" s="17">
        <f t="shared" si="29"/>
        <v>0.9794164712557458</v>
      </c>
      <c r="U100" s="17">
        <f t="shared" si="29"/>
        <v>0.9771557267677397</v>
      </c>
      <c r="V100" s="17">
        <f t="shared" si="29"/>
        <v>0.9771557267677397</v>
      </c>
      <c r="W100" s="17">
        <f t="shared" si="29"/>
        <v>0.9771557267677397</v>
      </c>
      <c r="X100" s="17">
        <f t="shared" si="29"/>
        <v>0.9771557267677397</v>
      </c>
      <c r="Y100" s="17">
        <f t="shared" si="29"/>
        <v>0.9771557267677397</v>
      </c>
      <c r="Z100" s="17">
        <f t="shared" si="29"/>
        <v>0.9771557267677397</v>
      </c>
      <c r="AA100" s="17">
        <f t="shared" si="29"/>
        <v>0.9771557267677397</v>
      </c>
      <c r="AB100" s="17">
        <f t="shared" si="29"/>
        <v>0.9771557267677397</v>
      </c>
      <c r="AC100" s="17">
        <f t="shared" si="29"/>
        <v>0.9771557267677397</v>
      </c>
      <c r="AD100" s="17">
        <f t="shared" si="29"/>
        <v>0.9771557267677397</v>
      </c>
      <c r="AE100" s="17">
        <f t="shared" si="29"/>
        <v>0.9771557267677397</v>
      </c>
      <c r="AF100" s="17">
        <f t="shared" si="29"/>
        <v>0.9771557267677397</v>
      </c>
      <c r="AG100" s="17"/>
    </row>
    <row r="101" spans="1:32" ht="11.25">
      <c r="A101" s="44" t="s">
        <v>60</v>
      </c>
      <c r="B101" s="44"/>
      <c r="G101">
        <f t="shared" si="25"/>
        <v>2011</v>
      </c>
      <c r="H101" s="3"/>
      <c r="I101" s="77"/>
      <c r="J101" s="16">
        <f t="shared" si="27"/>
        <v>1</v>
      </c>
      <c r="K101" s="16">
        <f t="shared" si="28"/>
        <v>1</v>
      </c>
      <c r="L101" s="17">
        <f aca="true" t="shared" si="30" ref="L101:L120">(1+$L$63)^(-L77)</f>
        <v>1</v>
      </c>
      <c r="M101" s="17">
        <f>(1+$M$63)^(-M77)</f>
        <v>0.9978404778033715</v>
      </c>
      <c r="N101" s="17">
        <f>(1+$M$63)^(-N77)</f>
        <v>0.9956856191428609</v>
      </c>
      <c r="O101" s="17">
        <f aca="true" t="shared" si="31" ref="O101:AF101">(1+$M$63)^(-O77)</f>
        <v>0.9935354139474581</v>
      </c>
      <c r="P101" s="17">
        <f t="shared" si="31"/>
        <v>0.9913898521679024</v>
      </c>
      <c r="Q101" s="17">
        <f t="shared" si="31"/>
        <v>0.9892489237766338</v>
      </c>
      <c r="R101" s="17">
        <f t="shared" si="31"/>
        <v>0.9871126187677473</v>
      </c>
      <c r="S101" s="17">
        <f t="shared" si="31"/>
        <v>0.9849809271569463</v>
      </c>
      <c r="T101" s="17">
        <f t="shared" si="31"/>
        <v>0.9828538389814954</v>
      </c>
      <c r="U101" s="17">
        <f t="shared" si="31"/>
        <v>0.9807313443001734</v>
      </c>
      <c r="V101" s="17">
        <f t="shared" si="31"/>
        <v>0.978613433193228</v>
      </c>
      <c r="W101" s="17">
        <f t="shared" si="31"/>
        <v>0.978613433193228</v>
      </c>
      <c r="X101" s="17">
        <f t="shared" si="31"/>
        <v>0.978613433193228</v>
      </c>
      <c r="Y101" s="17">
        <f t="shared" si="31"/>
        <v>0.978613433193228</v>
      </c>
      <c r="Z101" s="17">
        <f t="shared" si="31"/>
        <v>0.978613433193228</v>
      </c>
      <c r="AA101" s="17">
        <f t="shared" si="31"/>
        <v>0.978613433193228</v>
      </c>
      <c r="AB101" s="17">
        <f t="shared" si="31"/>
        <v>0.978613433193228</v>
      </c>
      <c r="AC101" s="17">
        <f t="shared" si="31"/>
        <v>0.978613433193228</v>
      </c>
      <c r="AD101" s="17">
        <f t="shared" si="31"/>
        <v>0.978613433193228</v>
      </c>
      <c r="AE101" s="17">
        <f t="shared" si="31"/>
        <v>0.978613433193228</v>
      </c>
      <c r="AF101" s="17">
        <f t="shared" si="31"/>
        <v>0.978613433193228</v>
      </c>
    </row>
    <row r="102" spans="1:32" ht="11.25">
      <c r="A102" s="44" t="s">
        <v>60</v>
      </c>
      <c r="B102" s="44"/>
      <c r="G102">
        <f t="shared" si="25"/>
        <v>2012</v>
      </c>
      <c r="H102" s="3"/>
      <c r="I102" s="77"/>
      <c r="J102" s="16">
        <f t="shared" si="27"/>
        <v>1</v>
      </c>
      <c r="K102" s="16">
        <f t="shared" si="28"/>
        <v>1</v>
      </c>
      <c r="L102" s="17">
        <f t="shared" si="30"/>
        <v>1</v>
      </c>
      <c r="M102" s="17">
        <f aca="true" t="shared" si="32" ref="M102:M120">(1+$M$63)^(-M78)</f>
        <v>1</v>
      </c>
      <c r="N102" s="17">
        <f>(1+$N$63)^(-N78)</f>
        <v>0.9979724051684881</v>
      </c>
      <c r="O102" s="17">
        <f aca="true" t="shared" si="33" ref="O102:AF102">(1+$N$63)^(-O78)</f>
        <v>0.9959489214777769</v>
      </c>
      <c r="P102" s="17">
        <f t="shared" si="33"/>
        <v>0.9939295405921387</v>
      </c>
      <c r="Q102" s="17">
        <f t="shared" si="33"/>
        <v>0.9919142541927471</v>
      </c>
      <c r="R102" s="17">
        <f t="shared" si="33"/>
        <v>0.9899030539776431</v>
      </c>
      <c r="S102" s="17">
        <f t="shared" si="33"/>
        <v>0.9878959316617001</v>
      </c>
      <c r="T102" s="17">
        <f t="shared" si="33"/>
        <v>0.9858928789765913</v>
      </c>
      <c r="U102" s="17">
        <f t="shared" si="33"/>
        <v>0.983893887670754</v>
      </c>
      <c r="V102" s="17">
        <f t="shared" si="33"/>
        <v>0.9818989495093566</v>
      </c>
      <c r="W102" s="17">
        <f t="shared" si="33"/>
        <v>0.9799080562742645</v>
      </c>
      <c r="X102" s="17">
        <f t="shared" si="33"/>
        <v>0.9799080562742645</v>
      </c>
      <c r="Y102" s="17">
        <f t="shared" si="33"/>
        <v>0.9799080562742645</v>
      </c>
      <c r="Z102" s="17">
        <f t="shared" si="33"/>
        <v>0.9799080562742645</v>
      </c>
      <c r="AA102" s="17">
        <f t="shared" si="33"/>
        <v>0.9799080562742645</v>
      </c>
      <c r="AB102" s="17">
        <f t="shared" si="33"/>
        <v>0.9799080562742645</v>
      </c>
      <c r="AC102" s="17">
        <f t="shared" si="33"/>
        <v>0.9799080562742645</v>
      </c>
      <c r="AD102" s="17">
        <f t="shared" si="33"/>
        <v>0.9799080562742645</v>
      </c>
      <c r="AE102" s="17">
        <f t="shared" si="33"/>
        <v>0.9799080562742645</v>
      </c>
      <c r="AF102" s="17">
        <f t="shared" si="33"/>
        <v>0.9799080562742645</v>
      </c>
    </row>
    <row r="103" spans="1:32" ht="11.25">
      <c r="A103" s="44" t="s">
        <v>60</v>
      </c>
      <c r="B103" s="44"/>
      <c r="G103">
        <f t="shared" si="25"/>
        <v>2013</v>
      </c>
      <c r="H103" s="3"/>
      <c r="I103" s="77"/>
      <c r="J103" s="16">
        <f t="shared" si="27"/>
        <v>1</v>
      </c>
      <c r="K103" s="16">
        <f t="shared" si="28"/>
        <v>1</v>
      </c>
      <c r="L103" s="17">
        <f t="shared" si="30"/>
        <v>1</v>
      </c>
      <c r="M103" s="17">
        <f t="shared" si="32"/>
        <v>1</v>
      </c>
      <c r="N103" s="17">
        <f aca="true" t="shared" si="34" ref="N103:N120">(1+$N$63)^(-N79)</f>
        <v>1</v>
      </c>
      <c r="O103" s="17">
        <f>(1+$O$63)^(-O79)</f>
        <v>0.9980902029070993</v>
      </c>
      <c r="P103" s="17">
        <f aca="true" t="shared" si="35" ref="P103:AF103">(1+$O$63)^(-P79)</f>
        <v>0.9961840531391344</v>
      </c>
      <c r="Q103" s="17">
        <f t="shared" si="35"/>
        <v>0.9942815437304553</v>
      </c>
      <c r="R103" s="17">
        <f t="shared" si="35"/>
        <v>0.9923826677287138</v>
      </c>
      <c r="S103" s="17">
        <f t="shared" si="35"/>
        <v>0.9904874181948403</v>
      </c>
      <c r="T103" s="17">
        <f t="shared" si="35"/>
        <v>0.9885957882030171</v>
      </c>
      <c r="U103" s="17">
        <f t="shared" si="35"/>
        <v>0.986707770840653</v>
      </c>
      <c r="V103" s="17">
        <f t="shared" si="35"/>
        <v>0.9848233592083588</v>
      </c>
      <c r="W103" s="17">
        <f t="shared" si="35"/>
        <v>0.9829425464199217</v>
      </c>
      <c r="X103" s="17">
        <f t="shared" si="35"/>
        <v>0.9810653256022807</v>
      </c>
      <c r="Y103" s="17">
        <f t="shared" si="35"/>
        <v>0.9810653256022807</v>
      </c>
      <c r="Z103" s="17">
        <f t="shared" si="35"/>
        <v>0.9810653256022807</v>
      </c>
      <c r="AA103" s="17">
        <f t="shared" si="35"/>
        <v>0.9810653256022807</v>
      </c>
      <c r="AB103" s="17">
        <f t="shared" si="35"/>
        <v>0.9810653256022807</v>
      </c>
      <c r="AC103" s="17">
        <f t="shared" si="35"/>
        <v>0.9810653256022807</v>
      </c>
      <c r="AD103" s="17">
        <f t="shared" si="35"/>
        <v>0.9810653256022807</v>
      </c>
      <c r="AE103" s="17">
        <f t="shared" si="35"/>
        <v>0.9810653256022807</v>
      </c>
      <c r="AF103" s="17">
        <f t="shared" si="35"/>
        <v>0.9810653256022807</v>
      </c>
    </row>
    <row r="104" spans="1:32" ht="11.25">
      <c r="A104" s="44" t="s">
        <v>60</v>
      </c>
      <c r="B104" s="44"/>
      <c r="G104">
        <f t="shared" si="25"/>
        <v>2014</v>
      </c>
      <c r="H104" s="3"/>
      <c r="I104" s="77"/>
      <c r="J104" s="16">
        <f t="shared" si="27"/>
        <v>1</v>
      </c>
      <c r="K104" s="16">
        <f t="shared" si="28"/>
        <v>1</v>
      </c>
      <c r="L104" s="17">
        <f t="shared" si="30"/>
        <v>1</v>
      </c>
      <c r="M104" s="17">
        <f t="shared" si="32"/>
        <v>1</v>
      </c>
      <c r="N104" s="17">
        <f t="shared" si="34"/>
        <v>1</v>
      </c>
      <c r="O104" s="17">
        <f aca="true" t="shared" si="36" ref="O104:O120">(1+$O$63)^(-O80)</f>
        <v>1</v>
      </c>
      <c r="P104" s="17">
        <f>(1+$P$63)^(-P80)</f>
        <v>0.9981960083064434</v>
      </c>
      <c r="Q104" s="17">
        <f aca="true" t="shared" si="37" ref="Q104:AF104">(1+$P$63)^(-Q80)</f>
        <v>0.9963952709989173</v>
      </c>
      <c r="R104" s="17">
        <f t="shared" si="37"/>
        <v>0.9945977822065365</v>
      </c>
      <c r="S104" s="17">
        <f t="shared" si="37"/>
        <v>0.9928035360690062</v>
      </c>
      <c r="T104" s="17">
        <f t="shared" si="37"/>
        <v>0.991012526736604</v>
      </c>
      <c r="U104" s="17">
        <f t="shared" si="37"/>
        <v>0.9892247483701608</v>
      </c>
      <c r="V104" s="17">
        <f t="shared" si="37"/>
        <v>0.9874401951410405</v>
      </c>
      <c r="W104" s="17">
        <f t="shared" si="37"/>
        <v>0.9856588612311221</v>
      </c>
      <c r="X104" s="17">
        <f t="shared" si="37"/>
        <v>0.9838807408327809</v>
      </c>
      <c r="Y104" s="17">
        <f t="shared" si="37"/>
        <v>0.9821058281488685</v>
      </c>
      <c r="Z104" s="17">
        <f t="shared" si="37"/>
        <v>0.9821058281488685</v>
      </c>
      <c r="AA104" s="17">
        <f t="shared" si="37"/>
        <v>0.9821058281488685</v>
      </c>
      <c r="AB104" s="17">
        <f t="shared" si="37"/>
        <v>0.9821058281488685</v>
      </c>
      <c r="AC104" s="17">
        <f t="shared" si="37"/>
        <v>0.9821058281488685</v>
      </c>
      <c r="AD104" s="17">
        <f t="shared" si="37"/>
        <v>0.9821058281488685</v>
      </c>
      <c r="AE104" s="17">
        <f t="shared" si="37"/>
        <v>0.9821058281488685</v>
      </c>
      <c r="AF104" s="17">
        <f t="shared" si="37"/>
        <v>0.9821058281488685</v>
      </c>
    </row>
    <row r="105" spans="1:32" ht="11.25">
      <c r="A105" s="44" t="s">
        <v>60</v>
      </c>
      <c r="B105" s="44"/>
      <c r="G105">
        <f t="shared" si="25"/>
        <v>2015</v>
      </c>
      <c r="H105" s="3"/>
      <c r="I105" s="77"/>
      <c r="J105" s="16">
        <f t="shared" si="27"/>
        <v>1</v>
      </c>
      <c r="K105" s="16">
        <f t="shared" si="28"/>
        <v>1</v>
      </c>
      <c r="L105" s="17">
        <f t="shared" si="30"/>
        <v>1</v>
      </c>
      <c r="M105" s="17">
        <f t="shared" si="32"/>
        <v>1</v>
      </c>
      <c r="N105" s="17">
        <f t="shared" si="34"/>
        <v>1</v>
      </c>
      <c r="O105" s="17">
        <f t="shared" si="36"/>
        <v>1</v>
      </c>
      <c r="P105" s="17">
        <f aca="true" t="shared" si="38" ref="P105:P120">(1+$P$63)^(-P81)</f>
        <v>1</v>
      </c>
      <c r="Q105" s="17">
        <f aca="true" t="shared" si="39" ref="Q105:AF105">(1+$Q$63)^(-Q81)</f>
        <v>0.9982915482466523</v>
      </c>
      <c r="R105" s="17">
        <f t="shared" si="39"/>
        <v>0.996586015300698</v>
      </c>
      <c r="S105" s="17">
        <f t="shared" si="39"/>
        <v>0.9948833961754956</v>
      </c>
      <c r="T105" s="17">
        <f t="shared" si="39"/>
        <v>0.9931836858929229</v>
      </c>
      <c r="U105" s="17">
        <f t="shared" si="39"/>
        <v>0.9914868794833629</v>
      </c>
      <c r="V105" s="17">
        <f t="shared" si="39"/>
        <v>0.9897929719856883</v>
      </c>
      <c r="W105" s="17">
        <f t="shared" si="39"/>
        <v>0.988101958447248</v>
      </c>
      <c r="X105" s="17">
        <f t="shared" si="39"/>
        <v>0.9864138339238524</v>
      </c>
      <c r="Y105" s="17">
        <f t="shared" si="39"/>
        <v>0.9847285934797588</v>
      </c>
      <c r="Z105" s="17">
        <f t="shared" si="39"/>
        <v>0.9830462321876566</v>
      </c>
      <c r="AA105" s="17">
        <f t="shared" si="39"/>
        <v>0.9830462321876566</v>
      </c>
      <c r="AB105" s="17">
        <f t="shared" si="39"/>
        <v>0.9830462321876566</v>
      </c>
      <c r="AC105" s="17">
        <f t="shared" si="39"/>
        <v>0.9830462321876566</v>
      </c>
      <c r="AD105" s="17">
        <f t="shared" si="39"/>
        <v>0.9830462321876566</v>
      </c>
      <c r="AE105" s="17">
        <f t="shared" si="39"/>
        <v>0.9830462321876566</v>
      </c>
      <c r="AF105" s="17">
        <f t="shared" si="39"/>
        <v>0.9830462321876566</v>
      </c>
    </row>
    <row r="106" spans="1:32" ht="11.25">
      <c r="A106" s="44" t="s">
        <v>60</v>
      </c>
      <c r="B106" s="44"/>
      <c r="G106">
        <f t="shared" si="25"/>
        <v>2016</v>
      </c>
      <c r="J106" s="16">
        <f t="shared" si="27"/>
        <v>1</v>
      </c>
      <c r="K106" s="16">
        <f t="shared" si="28"/>
        <v>1</v>
      </c>
      <c r="L106" s="17">
        <f t="shared" si="30"/>
        <v>1</v>
      </c>
      <c r="M106" s="17">
        <f t="shared" si="32"/>
        <v>1</v>
      </c>
      <c r="N106" s="17">
        <f t="shared" si="34"/>
        <v>1</v>
      </c>
      <c r="O106" s="17">
        <f t="shared" si="36"/>
        <v>1</v>
      </c>
      <c r="P106" s="17">
        <f t="shared" si="38"/>
        <v>1</v>
      </c>
      <c r="Q106" s="17">
        <f aca="true" t="shared" si="40" ref="Q106:Q120">(1+$Q$63)^(-Q82)</f>
        <v>1</v>
      </c>
      <c r="R106" s="17">
        <f>(1+$R$63)^(-R82)</f>
        <v>0.9983782332167602</v>
      </c>
      <c r="S106" s="17">
        <f aca="true" t="shared" si="41" ref="S106:AF106">(1+$R$63)^(-S82)</f>
        <v>0.9967590965610198</v>
      </c>
      <c r="T106" s="17">
        <f t="shared" si="41"/>
        <v>0.9951425857673252</v>
      </c>
      <c r="U106" s="17">
        <f t="shared" si="41"/>
        <v>0.9935286965771403</v>
      </c>
      <c r="V106" s="17">
        <f t="shared" si="41"/>
        <v>0.991917424738836</v>
      </c>
      <c r="W106" s="17">
        <f t="shared" si="41"/>
        <v>0.9903087660076778</v>
      </c>
      <c r="X106" s="17">
        <f t="shared" si="41"/>
        <v>0.9887027161458154</v>
      </c>
      <c r="Y106" s="17">
        <f t="shared" si="41"/>
        <v>0.9870992709222712</v>
      </c>
      <c r="Z106" s="17">
        <f t="shared" si="41"/>
        <v>0.9854984261129295</v>
      </c>
      <c r="AA106" s="17">
        <f t="shared" si="41"/>
        <v>0.9839001775005244</v>
      </c>
      <c r="AB106" s="17">
        <f t="shared" si="41"/>
        <v>0.9839001775005244</v>
      </c>
      <c r="AC106" s="17">
        <f t="shared" si="41"/>
        <v>0.9839001775005244</v>
      </c>
      <c r="AD106" s="17">
        <f t="shared" si="41"/>
        <v>0.9839001775005244</v>
      </c>
      <c r="AE106" s="17">
        <f t="shared" si="41"/>
        <v>0.9839001775005244</v>
      </c>
      <c r="AF106" s="17">
        <f t="shared" si="41"/>
        <v>0.9839001775005244</v>
      </c>
    </row>
    <row r="107" spans="1:32" ht="11.25">
      <c r="A107" s="44" t="s">
        <v>60</v>
      </c>
      <c r="B107" s="44"/>
      <c r="G107">
        <f t="shared" si="25"/>
        <v>2017</v>
      </c>
      <c r="J107" s="16">
        <f t="shared" si="27"/>
        <v>1</v>
      </c>
      <c r="K107" s="16">
        <f t="shared" si="28"/>
        <v>1</v>
      </c>
      <c r="L107" s="17">
        <f t="shared" si="30"/>
        <v>1</v>
      </c>
      <c r="M107" s="17">
        <f t="shared" si="32"/>
        <v>1</v>
      </c>
      <c r="N107" s="17">
        <f t="shared" si="34"/>
        <v>1</v>
      </c>
      <c r="O107" s="17">
        <f t="shared" si="36"/>
        <v>1</v>
      </c>
      <c r="P107" s="17">
        <f t="shared" si="38"/>
        <v>1</v>
      </c>
      <c r="Q107" s="17">
        <f t="shared" si="40"/>
        <v>1</v>
      </c>
      <c r="R107" s="17">
        <f>(1+$R$63)^(-R83)</f>
        <v>1</v>
      </c>
      <c r="S107" s="17">
        <f>(1+$S$63)^(-S83)</f>
        <v>0.9984572266143602</v>
      </c>
      <c r="T107" s="17">
        <f aca="true" t="shared" si="42" ref="T107:AF107">(1+$S$63)^(-T83)</f>
        <v>0.99691683337844</v>
      </c>
      <c r="U107" s="17">
        <f t="shared" si="42"/>
        <v>0.9953788166202076</v>
      </c>
      <c r="V107" s="17">
        <f t="shared" si="42"/>
        <v>0.9938431726732964</v>
      </c>
      <c r="W107" s="17">
        <f t="shared" si="42"/>
        <v>0.9923098978769962</v>
      </c>
      <c r="X107" s="17">
        <f t="shared" si="42"/>
        <v>0.9907789885762448</v>
      </c>
      <c r="Y107" s="17">
        <f t="shared" si="42"/>
        <v>0.9892504411216183</v>
      </c>
      <c r="Z107" s="17">
        <f t="shared" si="42"/>
        <v>0.9877242518693234</v>
      </c>
      <c r="AA107" s="17">
        <f t="shared" si="42"/>
        <v>0.9862004171811887</v>
      </c>
      <c r="AB107" s="17">
        <f t="shared" si="42"/>
        <v>0.9846789334246547</v>
      </c>
      <c r="AC107" s="17">
        <f t="shared" si="42"/>
        <v>0.9846789334246547</v>
      </c>
      <c r="AD107" s="17">
        <f t="shared" si="42"/>
        <v>0.9846789334246547</v>
      </c>
      <c r="AE107" s="17">
        <f t="shared" si="42"/>
        <v>0.9846789334246547</v>
      </c>
      <c r="AF107" s="17">
        <f t="shared" si="42"/>
        <v>0.9846789334246547</v>
      </c>
    </row>
    <row r="108" spans="1:32" ht="11.25">
      <c r="A108" s="44" t="s">
        <v>60</v>
      </c>
      <c r="B108" s="44"/>
      <c r="G108">
        <f t="shared" si="25"/>
        <v>2018</v>
      </c>
      <c r="J108" s="16">
        <f t="shared" si="27"/>
        <v>1</v>
      </c>
      <c r="K108" s="16">
        <f t="shared" si="28"/>
        <v>1</v>
      </c>
      <c r="L108" s="17">
        <f t="shared" si="30"/>
        <v>1</v>
      </c>
      <c r="M108" s="17">
        <f t="shared" si="32"/>
        <v>1</v>
      </c>
      <c r="N108" s="17">
        <f t="shared" si="34"/>
        <v>1</v>
      </c>
      <c r="O108" s="17">
        <f t="shared" si="36"/>
        <v>1</v>
      </c>
      <c r="P108" s="17">
        <f t="shared" si="38"/>
        <v>1</v>
      </c>
      <c r="Q108" s="17">
        <f t="shared" si="40"/>
        <v>1</v>
      </c>
      <c r="R108" s="17">
        <f>(1+$R$63)^(-R84)</f>
        <v>1</v>
      </c>
      <c r="S108" s="17">
        <f>(1+$S$63)^(-S84)</f>
        <v>1</v>
      </c>
      <c r="T108" s="17">
        <f>(1+$T$63)^(-T84)</f>
        <v>0.9985294965925293</v>
      </c>
      <c r="U108" s="17">
        <f aca="true" t="shared" si="43" ref="U108:AF108">(1+$T$63)^(-U84)</f>
        <v>0.9970611555653298</v>
      </c>
      <c r="V108" s="17">
        <f t="shared" si="43"/>
        <v>0.9955949737386143</v>
      </c>
      <c r="W108" s="17">
        <f t="shared" si="43"/>
        <v>0.994130947937271</v>
      </c>
      <c r="X108" s="17">
        <f t="shared" si="43"/>
        <v>0.992669074990857</v>
      </c>
      <c r="Y108" s="17">
        <f t="shared" si="43"/>
        <v>0.9912093517335923</v>
      </c>
      <c r="Z108" s="17">
        <f t="shared" si="43"/>
        <v>0.9897517750043511</v>
      </c>
      <c r="AA108" s="17">
        <f t="shared" si="43"/>
        <v>0.9882963416466568</v>
      </c>
      <c r="AB108" s="17">
        <f t="shared" si="43"/>
        <v>0.9868430485086747</v>
      </c>
      <c r="AC108" s="17">
        <f t="shared" si="43"/>
        <v>0.9853918924432038</v>
      </c>
      <c r="AD108" s="17">
        <f t="shared" si="43"/>
        <v>0.9853918924432038</v>
      </c>
      <c r="AE108" s="17">
        <f t="shared" si="43"/>
        <v>0.9853918924432038</v>
      </c>
      <c r="AF108" s="17">
        <f t="shared" si="43"/>
        <v>0.9853918924432038</v>
      </c>
    </row>
    <row r="109" spans="1:32" ht="11.25">
      <c r="A109" s="44" t="s">
        <v>60</v>
      </c>
      <c r="B109" s="44"/>
      <c r="G109">
        <f t="shared" si="25"/>
        <v>2019</v>
      </c>
      <c r="J109" s="16">
        <f t="shared" si="27"/>
        <v>1</v>
      </c>
      <c r="K109" s="16">
        <f t="shared" si="28"/>
        <v>1</v>
      </c>
      <c r="L109" s="17">
        <f t="shared" si="30"/>
        <v>1</v>
      </c>
      <c r="M109" s="17">
        <f t="shared" si="32"/>
        <v>1</v>
      </c>
      <c r="N109" s="17">
        <f t="shared" si="34"/>
        <v>1</v>
      </c>
      <c r="O109" s="17">
        <f t="shared" si="36"/>
        <v>1</v>
      </c>
      <c r="P109" s="17">
        <f t="shared" si="38"/>
        <v>1</v>
      </c>
      <c r="Q109" s="17">
        <f t="shared" si="40"/>
        <v>1</v>
      </c>
      <c r="R109" s="17">
        <f>(1+$R$63)^(-R85)</f>
        <v>1</v>
      </c>
      <c r="S109" s="17">
        <f>(1+$S$63)^(-S85)</f>
        <v>1</v>
      </c>
      <c r="T109" s="17">
        <f>(1+$T$63)^(-T85)</f>
        <v>1</v>
      </c>
      <c r="U109" s="17">
        <f>(1+$U$63)^(-U85)</f>
        <v>0.9985958553760546</v>
      </c>
      <c r="V109" s="17">
        <f aca="true" t="shared" si="44" ref="V109:AF109">(1+$U$63)^(-V85)</f>
        <v>0.9971936823742342</v>
      </c>
      <c r="W109" s="17">
        <f t="shared" si="44"/>
        <v>0.9957934782260961</v>
      </c>
      <c r="X109" s="17">
        <f t="shared" si="44"/>
        <v>0.9943952401670851</v>
      </c>
      <c r="Y109" s="17">
        <f t="shared" si="44"/>
        <v>0.9929989654365274</v>
      </c>
      <c r="Z109" s="17">
        <f t="shared" si="44"/>
        <v>0.9916046512776266</v>
      </c>
      <c r="AA109" s="17">
        <f t="shared" si="44"/>
        <v>0.9902122949374559</v>
      </c>
      <c r="AB109" s="17">
        <f t="shared" si="44"/>
        <v>0.9888218936669547</v>
      </c>
      <c r="AC109" s="17">
        <f t="shared" si="44"/>
        <v>0.9874334447209229</v>
      </c>
      <c r="AD109" s="17">
        <f t="shared" si="44"/>
        <v>0.986046945358014</v>
      </c>
      <c r="AE109" s="17">
        <f t="shared" si="44"/>
        <v>0.986046945358014</v>
      </c>
      <c r="AF109" s="17">
        <f t="shared" si="44"/>
        <v>0.986046945358014</v>
      </c>
    </row>
    <row r="110" spans="1:32" ht="11.25">
      <c r="A110" s="44" t="s">
        <v>60</v>
      </c>
      <c r="B110" s="44"/>
      <c r="G110">
        <f t="shared" si="25"/>
        <v>2020</v>
      </c>
      <c r="J110" s="16">
        <f t="shared" si="27"/>
        <v>1</v>
      </c>
      <c r="K110" s="16">
        <f t="shared" si="28"/>
        <v>1</v>
      </c>
      <c r="L110" s="17">
        <f t="shared" si="30"/>
        <v>1</v>
      </c>
      <c r="M110" s="17">
        <f t="shared" si="32"/>
        <v>1</v>
      </c>
      <c r="N110" s="17">
        <f t="shared" si="34"/>
        <v>1</v>
      </c>
      <c r="O110" s="17">
        <f t="shared" si="36"/>
        <v>1</v>
      </c>
      <c r="P110" s="17">
        <f t="shared" si="38"/>
        <v>1</v>
      </c>
      <c r="Q110" s="17">
        <f t="shared" si="40"/>
        <v>1</v>
      </c>
      <c r="R110" s="17">
        <f>(1+$R$63)^(-R86)</f>
        <v>1</v>
      </c>
      <c r="S110" s="17">
        <f>(1+$S$63)^(-S86)</f>
        <v>1</v>
      </c>
      <c r="T110" s="17">
        <f>(1+$T$63)^(-T86)</f>
        <v>1</v>
      </c>
      <c r="U110" s="17">
        <f>(1+$U$63)^(-U86)</f>
        <v>1</v>
      </c>
      <c r="V110" s="17">
        <f>(1+$V$63)^(-V86)</f>
        <v>0.9986569894438226</v>
      </c>
      <c r="W110" s="17">
        <f aca="true" t="shared" si="45" ref="W110:AF110">(1+$V$63)^(-W86)</f>
        <v>0.997315782564999</v>
      </c>
      <c r="X110" s="17">
        <f t="shared" si="45"/>
        <v>0.9959763769411718</v>
      </c>
      <c r="Y110" s="17">
        <f t="shared" si="45"/>
        <v>0.9946387701532365</v>
      </c>
      <c r="Z110" s="17">
        <f t="shared" si="45"/>
        <v>0.9933029597853372</v>
      </c>
      <c r="AA110" s="17">
        <f t="shared" si="45"/>
        <v>0.9919689434248631</v>
      </c>
      <c r="AB110" s="17">
        <f t="shared" si="45"/>
        <v>0.9906367186624434</v>
      </c>
      <c r="AC110" s="17">
        <f t="shared" si="45"/>
        <v>0.9893062830919428</v>
      </c>
      <c r="AD110" s="17">
        <f t="shared" si="45"/>
        <v>0.9879776343104576</v>
      </c>
      <c r="AE110" s="17">
        <f t="shared" si="45"/>
        <v>0.9866507699183114</v>
      </c>
      <c r="AF110" s="17">
        <f t="shared" si="45"/>
        <v>0.9866507699183114</v>
      </c>
    </row>
    <row r="111" spans="1:32" ht="11.25">
      <c r="A111" s="44" t="s">
        <v>60</v>
      </c>
      <c r="G111">
        <f t="shared" si="25"/>
        <v>2021</v>
      </c>
      <c r="J111" s="16">
        <f t="shared" si="27"/>
        <v>1</v>
      </c>
      <c r="K111" s="16">
        <f t="shared" si="28"/>
        <v>1</v>
      </c>
      <c r="L111" s="17">
        <f t="shared" si="30"/>
        <v>1</v>
      </c>
      <c r="M111" s="17">
        <f t="shared" si="32"/>
        <v>1</v>
      </c>
      <c r="N111" s="17">
        <f t="shared" si="34"/>
        <v>1</v>
      </c>
      <c r="O111" s="17">
        <f t="shared" si="36"/>
        <v>1</v>
      </c>
      <c r="P111" s="17">
        <f t="shared" si="38"/>
        <v>1</v>
      </c>
      <c r="Q111" s="17">
        <f t="shared" si="40"/>
        <v>1</v>
      </c>
      <c r="R111" s="17">
        <f aca="true" t="shared" si="46" ref="R111:R120">(1+$R$63)^(-R87)</f>
        <v>1</v>
      </c>
      <c r="S111" s="17">
        <f aca="true" t="shared" si="47" ref="S111:S120">(1+$S$63)^(-S87)</f>
        <v>1</v>
      </c>
      <c r="T111" s="17">
        <f aca="true" t="shared" si="48" ref="T111:T120">(1+$T$63)^(-T87)</f>
        <v>1</v>
      </c>
      <c r="U111" s="17">
        <f aca="true" t="shared" si="49" ref="U111:U120">(1+$U$63)^(-U87)</f>
        <v>1</v>
      </c>
      <c r="V111" s="17">
        <f aca="true" t="shared" si="50" ref="V111:AF120">(1+$V$63)^(-V87)</f>
        <v>1</v>
      </c>
      <c r="W111" s="17">
        <f t="shared" si="50"/>
        <v>0.9986569894438226</v>
      </c>
      <c r="X111" s="17">
        <f t="shared" si="50"/>
        <v>0.997315782564999</v>
      </c>
      <c r="Y111" s="17">
        <f t="shared" si="50"/>
        <v>0.9959763769411718</v>
      </c>
      <c r="Z111" s="17">
        <f t="shared" si="50"/>
        <v>0.9946387701532365</v>
      </c>
      <c r="AA111" s="17">
        <f t="shared" si="50"/>
        <v>0.9933029597853372</v>
      </c>
      <c r="AB111" s="17">
        <f t="shared" si="50"/>
        <v>0.9919689434248631</v>
      </c>
      <c r="AC111" s="17">
        <f t="shared" si="50"/>
        <v>0.9906367186624434</v>
      </c>
      <c r="AD111" s="17">
        <f t="shared" si="50"/>
        <v>0.9893062830919428</v>
      </c>
      <c r="AE111" s="17">
        <f t="shared" si="50"/>
        <v>0.9879776343104576</v>
      </c>
      <c r="AF111" s="17">
        <f t="shared" si="50"/>
        <v>0.9866507699183114</v>
      </c>
    </row>
    <row r="112" spans="1:32" ht="11.25">
      <c r="A112" s="44" t="s">
        <v>60</v>
      </c>
      <c r="G112">
        <f t="shared" si="25"/>
        <v>2022</v>
      </c>
      <c r="J112" s="16">
        <f t="shared" si="27"/>
        <v>1</v>
      </c>
      <c r="K112" s="16">
        <f t="shared" si="28"/>
        <v>1</v>
      </c>
      <c r="L112" s="17">
        <f t="shared" si="30"/>
        <v>1</v>
      </c>
      <c r="M112" s="17">
        <f t="shared" si="32"/>
        <v>1</v>
      </c>
      <c r="N112" s="17">
        <f t="shared" si="34"/>
        <v>1</v>
      </c>
      <c r="O112" s="17">
        <f t="shared" si="36"/>
        <v>1</v>
      </c>
      <c r="P112" s="17">
        <f t="shared" si="38"/>
        <v>1</v>
      </c>
      <c r="Q112" s="17">
        <f t="shared" si="40"/>
        <v>1</v>
      </c>
      <c r="R112" s="17">
        <f t="shared" si="46"/>
        <v>1</v>
      </c>
      <c r="S112" s="17">
        <f t="shared" si="47"/>
        <v>1</v>
      </c>
      <c r="T112" s="17">
        <f t="shared" si="48"/>
        <v>1</v>
      </c>
      <c r="U112" s="17">
        <f t="shared" si="49"/>
        <v>1</v>
      </c>
      <c r="V112" s="17">
        <f t="shared" si="50"/>
        <v>1</v>
      </c>
      <c r="W112" s="17">
        <f t="shared" si="50"/>
        <v>1</v>
      </c>
      <c r="X112" s="17">
        <f t="shared" si="50"/>
        <v>0.9986569894438226</v>
      </c>
      <c r="Y112" s="17">
        <f t="shared" si="50"/>
        <v>0.997315782564999</v>
      </c>
      <c r="Z112" s="17">
        <f t="shared" si="50"/>
        <v>0.9959763769411718</v>
      </c>
      <c r="AA112" s="17">
        <f t="shared" si="50"/>
        <v>0.9946387701532365</v>
      </c>
      <c r="AB112" s="17">
        <f t="shared" si="50"/>
        <v>0.9933029597853372</v>
      </c>
      <c r="AC112" s="17">
        <f t="shared" si="50"/>
        <v>0.9919689434248631</v>
      </c>
      <c r="AD112" s="17">
        <f t="shared" si="50"/>
        <v>0.9906367186624434</v>
      </c>
      <c r="AE112" s="17">
        <f t="shared" si="50"/>
        <v>0.9893062830919428</v>
      </c>
      <c r="AF112" s="17">
        <f t="shared" si="50"/>
        <v>0.9879776343104576</v>
      </c>
    </row>
    <row r="113" spans="1:32" ht="11.25">
      <c r="A113" s="44" t="s">
        <v>60</v>
      </c>
      <c r="G113">
        <f t="shared" si="25"/>
        <v>2023</v>
      </c>
      <c r="J113" s="16">
        <f t="shared" si="27"/>
        <v>1</v>
      </c>
      <c r="K113" s="16">
        <f t="shared" si="28"/>
        <v>1</v>
      </c>
      <c r="L113" s="17">
        <f t="shared" si="30"/>
        <v>1</v>
      </c>
      <c r="M113" s="17">
        <f t="shared" si="32"/>
        <v>1</v>
      </c>
      <c r="N113" s="17">
        <f t="shared" si="34"/>
        <v>1</v>
      </c>
      <c r="O113" s="17">
        <f t="shared" si="36"/>
        <v>1</v>
      </c>
      <c r="P113" s="17">
        <f t="shared" si="38"/>
        <v>1</v>
      </c>
      <c r="Q113" s="17">
        <f t="shared" si="40"/>
        <v>1</v>
      </c>
      <c r="R113" s="17">
        <f t="shared" si="46"/>
        <v>1</v>
      </c>
      <c r="S113" s="17">
        <f t="shared" si="47"/>
        <v>1</v>
      </c>
      <c r="T113" s="17">
        <f t="shared" si="48"/>
        <v>1</v>
      </c>
      <c r="U113" s="17">
        <f t="shared" si="49"/>
        <v>1</v>
      </c>
      <c r="V113" s="17">
        <f t="shared" si="50"/>
        <v>1</v>
      </c>
      <c r="W113" s="17">
        <f t="shared" si="50"/>
        <v>1</v>
      </c>
      <c r="X113" s="17">
        <f t="shared" si="50"/>
        <v>1</v>
      </c>
      <c r="Y113" s="17">
        <f t="shared" si="50"/>
        <v>0.9986569894438226</v>
      </c>
      <c r="Z113" s="17">
        <f t="shared" si="50"/>
        <v>0.997315782564999</v>
      </c>
      <c r="AA113" s="17">
        <f t="shared" si="50"/>
        <v>0.9959763769411718</v>
      </c>
      <c r="AB113" s="17">
        <f t="shared" si="50"/>
        <v>0.9946387701532365</v>
      </c>
      <c r="AC113" s="17">
        <f t="shared" si="50"/>
        <v>0.9933029597853372</v>
      </c>
      <c r="AD113" s="17">
        <f t="shared" si="50"/>
        <v>0.9919689434248631</v>
      </c>
      <c r="AE113" s="17">
        <f t="shared" si="50"/>
        <v>0.9906367186624434</v>
      </c>
      <c r="AF113" s="17">
        <f t="shared" si="50"/>
        <v>0.9893062830919428</v>
      </c>
    </row>
    <row r="114" spans="1:32" ht="11.25">
      <c r="A114" s="44" t="s">
        <v>60</v>
      </c>
      <c r="G114">
        <f t="shared" si="25"/>
        <v>2024</v>
      </c>
      <c r="J114" s="16">
        <f t="shared" si="27"/>
        <v>1</v>
      </c>
      <c r="K114" s="16">
        <f t="shared" si="28"/>
        <v>1</v>
      </c>
      <c r="L114" s="17">
        <f t="shared" si="30"/>
        <v>1</v>
      </c>
      <c r="M114" s="17">
        <f t="shared" si="32"/>
        <v>1</v>
      </c>
      <c r="N114" s="17">
        <f t="shared" si="34"/>
        <v>1</v>
      </c>
      <c r="O114" s="17">
        <f t="shared" si="36"/>
        <v>1</v>
      </c>
      <c r="P114" s="17">
        <f t="shared" si="38"/>
        <v>1</v>
      </c>
      <c r="Q114" s="17">
        <f t="shared" si="40"/>
        <v>1</v>
      </c>
      <c r="R114" s="17">
        <f t="shared" si="46"/>
        <v>1</v>
      </c>
      <c r="S114" s="17">
        <f t="shared" si="47"/>
        <v>1</v>
      </c>
      <c r="T114" s="17">
        <f t="shared" si="48"/>
        <v>1</v>
      </c>
      <c r="U114" s="17">
        <f t="shared" si="49"/>
        <v>1</v>
      </c>
      <c r="V114" s="17">
        <f t="shared" si="50"/>
        <v>1</v>
      </c>
      <c r="W114" s="17">
        <f t="shared" si="50"/>
        <v>1</v>
      </c>
      <c r="X114" s="17">
        <f t="shared" si="50"/>
        <v>1</v>
      </c>
      <c r="Y114" s="17">
        <f t="shared" si="50"/>
        <v>1</v>
      </c>
      <c r="Z114" s="17">
        <f t="shared" si="50"/>
        <v>0.9986569894438226</v>
      </c>
      <c r="AA114" s="17">
        <f t="shared" si="50"/>
        <v>0.997315782564999</v>
      </c>
      <c r="AB114" s="17">
        <f t="shared" si="50"/>
        <v>0.9959763769411718</v>
      </c>
      <c r="AC114" s="17">
        <f t="shared" si="50"/>
        <v>0.9946387701532365</v>
      </c>
      <c r="AD114" s="17">
        <f t="shared" si="50"/>
        <v>0.9933029597853372</v>
      </c>
      <c r="AE114" s="17">
        <f t="shared" si="50"/>
        <v>0.9919689434248631</v>
      </c>
      <c r="AF114" s="17">
        <f t="shared" si="50"/>
        <v>0.9906367186624434</v>
      </c>
    </row>
    <row r="115" spans="1:32" ht="11.25">
      <c r="A115" s="44" t="s">
        <v>60</v>
      </c>
      <c r="G115">
        <f t="shared" si="25"/>
        <v>2025</v>
      </c>
      <c r="J115" s="16">
        <f t="shared" si="27"/>
        <v>1</v>
      </c>
      <c r="K115" s="16">
        <f t="shared" si="28"/>
        <v>1</v>
      </c>
      <c r="L115" s="17">
        <f t="shared" si="30"/>
        <v>1</v>
      </c>
      <c r="M115" s="17">
        <f t="shared" si="32"/>
        <v>1</v>
      </c>
      <c r="N115" s="17">
        <f t="shared" si="34"/>
        <v>1</v>
      </c>
      <c r="O115" s="17">
        <f t="shared" si="36"/>
        <v>1</v>
      </c>
      <c r="P115" s="17">
        <f t="shared" si="38"/>
        <v>1</v>
      </c>
      <c r="Q115" s="17">
        <f t="shared" si="40"/>
        <v>1</v>
      </c>
      <c r="R115" s="17">
        <f t="shared" si="46"/>
        <v>1</v>
      </c>
      <c r="S115" s="17">
        <f t="shared" si="47"/>
        <v>1</v>
      </c>
      <c r="T115" s="17">
        <f t="shared" si="48"/>
        <v>1</v>
      </c>
      <c r="U115" s="17">
        <f t="shared" si="49"/>
        <v>1</v>
      </c>
      <c r="V115" s="17">
        <f t="shared" si="50"/>
        <v>1</v>
      </c>
      <c r="W115" s="17">
        <f t="shared" si="50"/>
        <v>1</v>
      </c>
      <c r="X115" s="17">
        <f t="shared" si="50"/>
        <v>1</v>
      </c>
      <c r="Y115" s="17">
        <f t="shared" si="50"/>
        <v>1</v>
      </c>
      <c r="Z115" s="17">
        <f t="shared" si="50"/>
        <v>1</v>
      </c>
      <c r="AA115" s="17">
        <f t="shared" si="50"/>
        <v>0.9986569894438226</v>
      </c>
      <c r="AB115" s="17">
        <f t="shared" si="50"/>
        <v>0.997315782564999</v>
      </c>
      <c r="AC115" s="17">
        <f t="shared" si="50"/>
        <v>0.9959763769411718</v>
      </c>
      <c r="AD115" s="17">
        <f t="shared" si="50"/>
        <v>0.9946387701532365</v>
      </c>
      <c r="AE115" s="17">
        <f t="shared" si="50"/>
        <v>0.9933029597853372</v>
      </c>
      <c r="AF115" s="17">
        <f t="shared" si="50"/>
        <v>0.9919689434248631</v>
      </c>
    </row>
    <row r="116" spans="1:32" ht="11.25">
      <c r="A116" s="44" t="s">
        <v>60</v>
      </c>
      <c r="G116">
        <f t="shared" si="25"/>
        <v>2026</v>
      </c>
      <c r="J116" s="16">
        <f t="shared" si="27"/>
        <v>1</v>
      </c>
      <c r="K116" s="16">
        <f t="shared" si="28"/>
        <v>1</v>
      </c>
      <c r="L116" s="17">
        <f t="shared" si="30"/>
        <v>1</v>
      </c>
      <c r="M116" s="17">
        <f t="shared" si="32"/>
        <v>1</v>
      </c>
      <c r="N116" s="17">
        <f t="shared" si="34"/>
        <v>1</v>
      </c>
      <c r="O116" s="17">
        <f t="shared" si="36"/>
        <v>1</v>
      </c>
      <c r="P116" s="17">
        <f t="shared" si="38"/>
        <v>1</v>
      </c>
      <c r="Q116" s="17">
        <f t="shared" si="40"/>
        <v>1</v>
      </c>
      <c r="R116" s="17">
        <f t="shared" si="46"/>
        <v>1</v>
      </c>
      <c r="S116" s="17">
        <f t="shared" si="47"/>
        <v>1</v>
      </c>
      <c r="T116" s="17">
        <f t="shared" si="48"/>
        <v>1</v>
      </c>
      <c r="U116" s="17">
        <f t="shared" si="49"/>
        <v>1</v>
      </c>
      <c r="V116" s="17">
        <f t="shared" si="50"/>
        <v>1</v>
      </c>
      <c r="W116" s="17">
        <f t="shared" si="50"/>
        <v>1</v>
      </c>
      <c r="X116" s="17">
        <f t="shared" si="50"/>
        <v>1</v>
      </c>
      <c r="Y116" s="17">
        <f t="shared" si="50"/>
        <v>1</v>
      </c>
      <c r="Z116" s="17">
        <f t="shared" si="50"/>
        <v>1</v>
      </c>
      <c r="AA116" s="17">
        <f t="shared" si="50"/>
        <v>1</v>
      </c>
      <c r="AB116" s="17">
        <f t="shared" si="50"/>
        <v>0.9986569894438226</v>
      </c>
      <c r="AC116" s="17">
        <f t="shared" si="50"/>
        <v>0.997315782564999</v>
      </c>
      <c r="AD116" s="17">
        <f t="shared" si="50"/>
        <v>0.9959763769411718</v>
      </c>
      <c r="AE116" s="17">
        <f t="shared" si="50"/>
        <v>0.9946387701532365</v>
      </c>
      <c r="AF116" s="17">
        <f t="shared" si="50"/>
        <v>0.9933029597853372</v>
      </c>
    </row>
    <row r="117" spans="1:32" ht="11.25">
      <c r="A117" s="44" t="s">
        <v>60</v>
      </c>
      <c r="G117">
        <f t="shared" si="25"/>
        <v>2027</v>
      </c>
      <c r="J117" s="16">
        <f t="shared" si="27"/>
        <v>1</v>
      </c>
      <c r="K117" s="16">
        <f t="shared" si="28"/>
        <v>1</v>
      </c>
      <c r="L117" s="17">
        <f t="shared" si="30"/>
        <v>1</v>
      </c>
      <c r="M117" s="17">
        <f t="shared" si="32"/>
        <v>1</v>
      </c>
      <c r="N117" s="17">
        <f t="shared" si="34"/>
        <v>1</v>
      </c>
      <c r="O117" s="17">
        <f t="shared" si="36"/>
        <v>1</v>
      </c>
      <c r="P117" s="17">
        <f t="shared" si="38"/>
        <v>1</v>
      </c>
      <c r="Q117" s="17">
        <f t="shared" si="40"/>
        <v>1</v>
      </c>
      <c r="R117" s="17">
        <f t="shared" si="46"/>
        <v>1</v>
      </c>
      <c r="S117" s="17">
        <f t="shared" si="47"/>
        <v>1</v>
      </c>
      <c r="T117" s="17">
        <f t="shared" si="48"/>
        <v>1</v>
      </c>
      <c r="U117" s="17">
        <f t="shared" si="49"/>
        <v>1</v>
      </c>
      <c r="V117" s="17">
        <f t="shared" si="50"/>
        <v>1</v>
      </c>
      <c r="W117" s="17">
        <f t="shared" si="50"/>
        <v>1</v>
      </c>
      <c r="X117" s="17">
        <f t="shared" si="50"/>
        <v>1</v>
      </c>
      <c r="Y117" s="17">
        <f t="shared" si="50"/>
        <v>1</v>
      </c>
      <c r="Z117" s="17">
        <f t="shared" si="50"/>
        <v>1</v>
      </c>
      <c r="AA117" s="17">
        <f t="shared" si="50"/>
        <v>1</v>
      </c>
      <c r="AB117" s="17">
        <f t="shared" si="50"/>
        <v>1</v>
      </c>
      <c r="AC117" s="17">
        <f t="shared" si="50"/>
        <v>0.9986569894438226</v>
      </c>
      <c r="AD117" s="17">
        <f t="shared" si="50"/>
        <v>0.997315782564999</v>
      </c>
      <c r="AE117" s="17">
        <f t="shared" si="50"/>
        <v>0.9959763769411718</v>
      </c>
      <c r="AF117" s="17">
        <f t="shared" si="50"/>
        <v>0.9946387701532365</v>
      </c>
    </row>
    <row r="118" spans="1:32" ht="11.25">
      <c r="A118" s="44" t="s">
        <v>60</v>
      </c>
      <c r="G118">
        <f t="shared" si="25"/>
        <v>2028</v>
      </c>
      <c r="J118" s="16">
        <f t="shared" si="27"/>
        <v>1</v>
      </c>
      <c r="K118" s="16">
        <f t="shared" si="28"/>
        <v>1</v>
      </c>
      <c r="L118" s="17">
        <f t="shared" si="30"/>
        <v>1</v>
      </c>
      <c r="M118" s="17">
        <f t="shared" si="32"/>
        <v>1</v>
      </c>
      <c r="N118" s="17">
        <f t="shared" si="34"/>
        <v>1</v>
      </c>
      <c r="O118" s="17">
        <f t="shared" si="36"/>
        <v>1</v>
      </c>
      <c r="P118" s="17">
        <f t="shared" si="38"/>
        <v>1</v>
      </c>
      <c r="Q118" s="17">
        <f t="shared" si="40"/>
        <v>1</v>
      </c>
      <c r="R118" s="17">
        <f t="shared" si="46"/>
        <v>1</v>
      </c>
      <c r="S118" s="17">
        <f t="shared" si="47"/>
        <v>1</v>
      </c>
      <c r="T118" s="17">
        <f t="shared" si="48"/>
        <v>1</v>
      </c>
      <c r="U118" s="17">
        <f t="shared" si="49"/>
        <v>1</v>
      </c>
      <c r="V118" s="17">
        <f t="shared" si="50"/>
        <v>1</v>
      </c>
      <c r="W118" s="17">
        <f t="shared" si="50"/>
        <v>1</v>
      </c>
      <c r="X118" s="17">
        <f t="shared" si="50"/>
        <v>1</v>
      </c>
      <c r="Y118" s="17">
        <f t="shared" si="50"/>
        <v>1</v>
      </c>
      <c r="Z118" s="17">
        <f t="shared" si="50"/>
        <v>1</v>
      </c>
      <c r="AA118" s="17">
        <f t="shared" si="50"/>
        <v>1</v>
      </c>
      <c r="AB118" s="17">
        <f t="shared" si="50"/>
        <v>1</v>
      </c>
      <c r="AC118" s="17">
        <f t="shared" si="50"/>
        <v>1</v>
      </c>
      <c r="AD118" s="17">
        <f t="shared" si="50"/>
        <v>0.9986569894438226</v>
      </c>
      <c r="AE118" s="17">
        <f t="shared" si="50"/>
        <v>0.997315782564999</v>
      </c>
      <c r="AF118" s="17">
        <f t="shared" si="50"/>
        <v>0.9959763769411718</v>
      </c>
    </row>
    <row r="119" spans="1:32" ht="11.25">
      <c r="A119" s="44" t="s">
        <v>60</v>
      </c>
      <c r="G119">
        <f t="shared" si="25"/>
        <v>2029</v>
      </c>
      <c r="J119" s="16">
        <f t="shared" si="27"/>
        <v>1</v>
      </c>
      <c r="K119" s="16">
        <f t="shared" si="28"/>
        <v>1</v>
      </c>
      <c r="L119" s="17">
        <f t="shared" si="30"/>
        <v>1</v>
      </c>
      <c r="M119" s="17">
        <f t="shared" si="32"/>
        <v>1</v>
      </c>
      <c r="N119" s="17">
        <f t="shared" si="34"/>
        <v>1</v>
      </c>
      <c r="O119" s="17">
        <f t="shared" si="36"/>
        <v>1</v>
      </c>
      <c r="P119" s="17">
        <f t="shared" si="38"/>
        <v>1</v>
      </c>
      <c r="Q119" s="17">
        <f t="shared" si="40"/>
        <v>1</v>
      </c>
      <c r="R119" s="17">
        <f t="shared" si="46"/>
        <v>1</v>
      </c>
      <c r="S119" s="17">
        <f t="shared" si="47"/>
        <v>1</v>
      </c>
      <c r="T119" s="17">
        <f t="shared" si="48"/>
        <v>1</v>
      </c>
      <c r="U119" s="17">
        <f t="shared" si="49"/>
        <v>1</v>
      </c>
      <c r="V119" s="17">
        <f t="shared" si="50"/>
        <v>1</v>
      </c>
      <c r="W119" s="17">
        <f t="shared" si="50"/>
        <v>1</v>
      </c>
      <c r="X119" s="17">
        <f t="shared" si="50"/>
        <v>1</v>
      </c>
      <c r="Y119" s="17">
        <f t="shared" si="50"/>
        <v>1</v>
      </c>
      <c r="Z119" s="17">
        <f t="shared" si="50"/>
        <v>1</v>
      </c>
      <c r="AA119" s="17">
        <f t="shared" si="50"/>
        <v>1</v>
      </c>
      <c r="AB119" s="17">
        <f t="shared" si="50"/>
        <v>1</v>
      </c>
      <c r="AC119" s="17">
        <f t="shared" si="50"/>
        <v>1</v>
      </c>
      <c r="AD119" s="17">
        <f t="shared" si="50"/>
        <v>1</v>
      </c>
      <c r="AE119" s="17">
        <f t="shared" si="50"/>
        <v>0.9986569894438226</v>
      </c>
      <c r="AF119" s="17">
        <f t="shared" si="50"/>
        <v>0.997315782564999</v>
      </c>
    </row>
    <row r="120" spans="1:32" ht="11.25">
      <c r="A120" s="44" t="s">
        <v>60</v>
      </c>
      <c r="G120">
        <f t="shared" si="25"/>
        <v>2030</v>
      </c>
      <c r="J120" s="16">
        <f t="shared" si="27"/>
        <v>1</v>
      </c>
      <c r="K120" s="16">
        <f t="shared" si="28"/>
        <v>1</v>
      </c>
      <c r="L120" s="17">
        <f t="shared" si="30"/>
        <v>1</v>
      </c>
      <c r="M120" s="17">
        <f t="shared" si="32"/>
        <v>1</v>
      </c>
      <c r="N120" s="17">
        <f t="shared" si="34"/>
        <v>1</v>
      </c>
      <c r="O120" s="17">
        <f t="shared" si="36"/>
        <v>1</v>
      </c>
      <c r="P120" s="17">
        <f t="shared" si="38"/>
        <v>1</v>
      </c>
      <c r="Q120" s="17">
        <f t="shared" si="40"/>
        <v>1</v>
      </c>
      <c r="R120" s="17">
        <f t="shared" si="46"/>
        <v>1</v>
      </c>
      <c r="S120" s="17">
        <f t="shared" si="47"/>
        <v>1</v>
      </c>
      <c r="T120" s="17">
        <f t="shared" si="48"/>
        <v>1</v>
      </c>
      <c r="U120" s="17">
        <f t="shared" si="49"/>
        <v>1</v>
      </c>
      <c r="V120" s="17">
        <f t="shared" si="50"/>
        <v>1</v>
      </c>
      <c r="W120" s="17">
        <f t="shared" si="50"/>
        <v>1</v>
      </c>
      <c r="X120" s="17">
        <f t="shared" si="50"/>
        <v>1</v>
      </c>
      <c r="Y120" s="17">
        <f t="shared" si="50"/>
        <v>1</v>
      </c>
      <c r="Z120" s="17">
        <f t="shared" si="50"/>
        <v>1</v>
      </c>
      <c r="AA120" s="17">
        <f t="shared" si="50"/>
        <v>1</v>
      </c>
      <c r="AB120" s="17">
        <f t="shared" si="50"/>
        <v>1</v>
      </c>
      <c r="AC120" s="17">
        <f t="shared" si="50"/>
        <v>1</v>
      </c>
      <c r="AD120" s="17">
        <f t="shared" si="50"/>
        <v>1</v>
      </c>
      <c r="AE120" s="17">
        <f t="shared" si="50"/>
        <v>1</v>
      </c>
      <c r="AF120" s="17">
        <f t="shared" si="50"/>
        <v>0.9986569894438226</v>
      </c>
    </row>
    <row r="122" spans="1:32" ht="11.25">
      <c r="A122" t="s">
        <v>73</v>
      </c>
      <c r="J122" s="42">
        <f aca="true" t="shared" si="51" ref="J122:AF122">1-J98*J99*J100*J101*J102*J103*J104*J105*J106*J107*J108*J109*J110</f>
        <v>0.002670728218763907</v>
      </c>
      <c r="K122" s="42">
        <f t="shared" si="51"/>
        <v>0.0077983069894347334</v>
      </c>
      <c r="L122" s="42">
        <f t="shared" si="51"/>
        <v>0.015178004433012315</v>
      </c>
      <c r="M122" s="42">
        <f t="shared" si="51"/>
        <v>0.024613740779516058</v>
      </c>
      <c r="N122" s="42">
        <f t="shared" si="51"/>
        <v>0.03591781142666983</v>
      </c>
      <c r="O122" s="42">
        <f t="shared" si="51"/>
        <v>0.048910738574519774</v>
      </c>
      <c r="P122" s="42">
        <f t="shared" si="51"/>
        <v>0.06342119404163082</v>
      </c>
      <c r="Q122" s="42">
        <f t="shared" si="51"/>
        <v>0.07928595578030218</v>
      </c>
      <c r="R122" s="42">
        <f t="shared" si="51"/>
        <v>0.09634987375048454</v>
      </c>
      <c r="S122" s="42">
        <f t="shared" si="51"/>
        <v>0.11446582962398111</v>
      </c>
      <c r="T122" s="42">
        <f t="shared" si="51"/>
        <v>0.131174283410734</v>
      </c>
      <c r="U122" s="42">
        <f t="shared" si="51"/>
        <v>0.14665050169735094</v>
      </c>
      <c r="V122" s="42">
        <f t="shared" si="51"/>
        <v>0.16104015354121215</v>
      </c>
      <c r="W122" s="42">
        <f t="shared" si="51"/>
        <v>0.17340210259925803</v>
      </c>
      <c r="X122" s="42">
        <f t="shared" si="51"/>
        <v>0.18392723524922694</v>
      </c>
      <c r="Y122" s="42">
        <f t="shared" si="51"/>
        <v>0.19277671792308926</v>
      </c>
      <c r="Z122" s="42">
        <f t="shared" si="51"/>
        <v>0.20008720087428167</v>
      </c>
      <c r="AA122" s="42">
        <f t="shared" si="51"/>
        <v>0.20597492412345797</v>
      </c>
      <c r="AB122" s="42">
        <f t="shared" si="51"/>
        <v>0.21053898939894744</v>
      </c>
      <c r="AC122" s="42">
        <f t="shared" si="51"/>
        <v>0.21386399066200068</v>
      </c>
      <c r="AD122" s="42">
        <f t="shared" si="51"/>
        <v>0.2160221457919439</v>
      </c>
      <c r="AE122" s="42">
        <f t="shared" si="51"/>
        <v>0.2170750363259547</v>
      </c>
      <c r="AF122" s="42">
        <f t="shared" si="51"/>
        <v>0.2170750363259547</v>
      </c>
    </row>
    <row r="124" spans="1:3" ht="12">
      <c r="A124" s="9" t="s">
        <v>76</v>
      </c>
      <c r="C124" t="s">
        <v>12</v>
      </c>
    </row>
    <row r="126" spans="1:7" ht="11.25">
      <c r="A126" s="155" t="s">
        <v>13</v>
      </c>
      <c r="B126" s="155"/>
      <c r="C126" s="155"/>
      <c r="D126" s="155"/>
      <c r="E126" s="155"/>
      <c r="F126" s="155"/>
      <c r="G126" s="155"/>
    </row>
    <row r="127" spans="1:7" ht="11.25">
      <c r="A127" s="155"/>
      <c r="B127" s="155"/>
      <c r="C127" s="155"/>
      <c r="D127" s="155"/>
      <c r="E127" s="155"/>
      <c r="F127" s="155"/>
      <c r="G127" s="155"/>
    </row>
    <row r="129" spans="1:6" ht="11.25">
      <c r="A129" s="14" t="s">
        <v>79</v>
      </c>
      <c r="E129" s="13"/>
      <c r="F129" s="13">
        <v>2020</v>
      </c>
    </row>
    <row r="131" spans="1:6" ht="11.25">
      <c r="A131" t="s">
        <v>89</v>
      </c>
      <c r="F131" s="52">
        <f>V39</f>
        <v>164319.70676966012</v>
      </c>
    </row>
    <row r="132" spans="1:6" ht="11.25">
      <c r="A132" t="s">
        <v>90</v>
      </c>
      <c r="F132" s="52">
        <f>V55</f>
        <v>137857.6359616271</v>
      </c>
    </row>
    <row r="133" spans="1:9" s="14" customFormat="1" ht="9.75">
      <c r="A133" s="14" t="s">
        <v>148</v>
      </c>
      <c r="F133" s="53">
        <f>F132/F131</f>
        <v>0.8389598464587879</v>
      </c>
      <c r="I133" s="79"/>
    </row>
    <row r="135" spans="1:6" ht="11.25">
      <c r="A135" t="s">
        <v>115</v>
      </c>
      <c r="F135" s="24">
        <f>G51</f>
        <v>19.627876190476186</v>
      </c>
    </row>
    <row r="136" spans="1:6" ht="11.25">
      <c r="A136" t="s">
        <v>116</v>
      </c>
      <c r="F136" s="24">
        <f>V51</f>
        <v>16.994748282768295</v>
      </c>
    </row>
    <row r="137" spans="1:9" s="14" customFormat="1" ht="9.75">
      <c r="A137" s="14" t="s">
        <v>148</v>
      </c>
      <c r="F137" s="53">
        <f>F136/F135</f>
        <v>0.8658475383604909</v>
      </c>
      <c r="I137" s="79"/>
    </row>
    <row r="138" ht="11.25">
      <c r="F138" s="24"/>
    </row>
    <row r="139" spans="1:6" ht="11.25">
      <c r="A139" s="3" t="s">
        <v>84</v>
      </c>
      <c r="F139" s="24"/>
    </row>
    <row r="140" spans="1:6" ht="11.25">
      <c r="A140" t="s">
        <v>81</v>
      </c>
      <c r="F140" s="24">
        <f>V42</f>
        <v>1462.6969887211974</v>
      </c>
    </row>
    <row r="141" spans="1:6" ht="11.25">
      <c r="A141" t="s">
        <v>83</v>
      </c>
      <c r="F141" s="24">
        <f>V56</f>
        <v>1062.5196471770334</v>
      </c>
    </row>
    <row r="142" spans="1:6" ht="11.25">
      <c r="A142" s="14" t="s">
        <v>148</v>
      </c>
      <c r="B142" s="14"/>
      <c r="C142" s="14"/>
      <c r="D142" s="14"/>
      <c r="E142" s="14"/>
      <c r="F142" s="102">
        <f>F141/F140</f>
        <v>0.7264113178396369</v>
      </c>
    </row>
    <row r="143" ht="11.25">
      <c r="F143" s="24"/>
    </row>
    <row r="144" spans="1:6" ht="11.25">
      <c r="A144" s="14" t="s">
        <v>147</v>
      </c>
      <c r="B144" s="14"/>
      <c r="C144" s="14"/>
      <c r="D144" s="14"/>
      <c r="E144" s="14"/>
      <c r="F144" s="102">
        <f>F137*F133</f>
        <v>0.7264113178396369</v>
      </c>
    </row>
    <row r="145" ht="11.25">
      <c r="F145" s="24"/>
    </row>
    <row r="146" spans="1:6" ht="11.25">
      <c r="A146" t="s">
        <v>85</v>
      </c>
      <c r="F146" s="24"/>
    </row>
    <row r="147" spans="1:6" ht="11.25">
      <c r="A147" t="s">
        <v>86</v>
      </c>
      <c r="F147" s="7">
        <f>(1-F133)/(1-F137)</f>
        <v>1.2004263773702113</v>
      </c>
    </row>
    <row r="149" spans="1:6" ht="12">
      <c r="A149" s="54" t="s">
        <v>87</v>
      </c>
      <c r="B149" s="55"/>
      <c r="C149" s="55"/>
      <c r="D149" s="55"/>
      <c r="E149" s="55"/>
      <c r="F149" s="56">
        <f>F147/(1+F147)</f>
        <v>0.5455426228824221</v>
      </c>
    </row>
    <row r="150" spans="1:6" ht="12">
      <c r="A150" s="57" t="s">
        <v>88</v>
      </c>
      <c r="B150" s="58"/>
      <c r="C150" s="58"/>
      <c r="D150" s="58"/>
      <c r="E150" s="58"/>
      <c r="F150" s="59">
        <f>1-F149</f>
        <v>0.45445737711757794</v>
      </c>
    </row>
  </sheetData>
  <mergeCells count="3">
    <mergeCell ref="A3:E5"/>
    <mergeCell ref="L69:V72"/>
    <mergeCell ref="A126:G127"/>
  </mergeCells>
  <printOptions gridLines="1"/>
  <pageMargins left="0.66" right="0.5" top="0.52"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G150"/>
  <sheetViews>
    <sheetView workbookViewId="0" topLeftCell="A1">
      <selection activeCell="A13" sqref="A13"/>
    </sheetView>
  </sheetViews>
  <sheetFormatPr defaultColWidth="9.140625" defaultRowHeight="12"/>
  <cols>
    <col min="7" max="7" width="12.140625" style="0" customWidth="1"/>
    <col min="9" max="9" width="8.8515625" style="33" customWidth="1"/>
    <col min="10" max="10" width="8.8515625" style="0" customWidth="1"/>
    <col min="16" max="32" width="9.421875" style="0" customWidth="1"/>
  </cols>
  <sheetData>
    <row r="1" spans="1:3" ht="12.75">
      <c r="A1" s="1" t="s">
        <v>209</v>
      </c>
      <c r="C1" t="s">
        <v>154</v>
      </c>
    </row>
    <row r="2" ht="12.75">
      <c r="A2" s="1"/>
    </row>
    <row r="3" spans="1:10" ht="11.25">
      <c r="A3" s="155" t="s">
        <v>231</v>
      </c>
      <c r="B3" s="155"/>
      <c r="C3" s="155"/>
      <c r="D3" s="155"/>
      <c r="E3" s="155"/>
      <c r="G3" s="80" t="s">
        <v>34</v>
      </c>
      <c r="I3" s="80" t="s">
        <v>130</v>
      </c>
      <c r="J3" s="86" t="s">
        <v>133</v>
      </c>
    </row>
    <row r="4" spans="1:10" ht="11.25">
      <c r="A4" s="155"/>
      <c r="B4" s="155"/>
      <c r="C4" s="155"/>
      <c r="D4" s="155"/>
      <c r="E4" s="155"/>
      <c r="G4" s="81" t="s">
        <v>96</v>
      </c>
      <c r="I4" s="81" t="s">
        <v>131</v>
      </c>
      <c r="J4" s="66" t="s">
        <v>134</v>
      </c>
    </row>
    <row r="5" spans="1:10" ht="11.25">
      <c r="A5" s="155"/>
      <c r="B5" s="155"/>
      <c r="C5" s="155"/>
      <c r="D5" s="155"/>
      <c r="E5" s="155"/>
      <c r="G5" s="81" t="s">
        <v>97</v>
      </c>
      <c r="I5" s="81" t="s">
        <v>132</v>
      </c>
      <c r="J5" s="66" t="s">
        <v>135</v>
      </c>
    </row>
    <row r="6" spans="1:10" ht="12.75">
      <c r="A6" s="1"/>
      <c r="G6" s="81" t="s">
        <v>143</v>
      </c>
      <c r="I6" s="82" t="s">
        <v>142</v>
      </c>
      <c r="J6" s="87" t="s">
        <v>136</v>
      </c>
    </row>
    <row r="7" spans="7:32" ht="11.25">
      <c r="G7" s="96" t="s">
        <v>144</v>
      </c>
      <c r="H7" s="13"/>
      <c r="I7" s="93">
        <v>2007</v>
      </c>
      <c r="J7" s="94">
        <f>Summary!J65</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7:32" ht="11.25">
      <c r="G8" s="95"/>
      <c r="H8" s="13"/>
      <c r="I8" s="93"/>
      <c r="J8" s="94"/>
      <c r="K8" s="13"/>
      <c r="L8" s="13"/>
      <c r="M8" s="13"/>
      <c r="N8" s="13"/>
      <c r="O8" s="13"/>
      <c r="P8" s="13"/>
      <c r="Q8" s="13"/>
      <c r="R8" s="13"/>
      <c r="S8" s="13"/>
      <c r="T8" s="13"/>
      <c r="U8" s="13"/>
      <c r="V8" s="13"/>
      <c r="W8" s="13"/>
      <c r="X8" s="13"/>
      <c r="Y8" s="13"/>
      <c r="Z8" s="13"/>
      <c r="AA8" s="13"/>
      <c r="AB8" s="13"/>
      <c r="AC8" s="13"/>
      <c r="AD8" s="13"/>
      <c r="AE8" s="13"/>
      <c r="AF8" s="13"/>
    </row>
    <row r="9" ht="12">
      <c r="A9" s="97" t="s">
        <v>145</v>
      </c>
    </row>
    <row r="10" ht="12">
      <c r="A10" s="106" t="s">
        <v>146</v>
      </c>
    </row>
    <row r="12" spans="1:7" ht="11.25">
      <c r="A12" s="97" t="s">
        <v>269</v>
      </c>
      <c r="G12" s="92">
        <f>MAX(Summary!H53,0.001)</f>
        <v>10</v>
      </c>
    </row>
    <row r="13" spans="1:7" ht="11.25">
      <c r="A13" s="3" t="s">
        <v>301</v>
      </c>
      <c r="G13" s="92"/>
    </row>
    <row r="14" spans="1:32" ht="11.25">
      <c r="A14" t="s">
        <v>129</v>
      </c>
      <c r="G14" s="2"/>
      <c r="I14" s="68" t="s">
        <v>141</v>
      </c>
      <c r="J14" s="62" t="str">
        <f>IF(J$7&gt;=$I$7,"YES","NO")</f>
        <v>YES</v>
      </c>
      <c r="K14" s="62" t="str">
        <f aca="true" t="shared" si="1" ref="K14:AF14">IF(K$7&gt;=$I$7,"YES","NO")</f>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8" t="s">
        <v>141</v>
      </c>
      <c r="J15" s="62" t="str">
        <f>IF(J$7&gt;Summary!$H62,"YES","NO")</f>
        <v>NO</v>
      </c>
      <c r="K15" s="62" t="str">
        <f>IF(K$7&gt;Summary!$H62,"YES","NO")</f>
        <v>NO</v>
      </c>
      <c r="L15" s="62" t="str">
        <f>IF(L$7&gt;Summary!$H62,"YES","NO")</f>
        <v>NO</v>
      </c>
      <c r="M15" s="62" t="str">
        <f>IF(M$7&gt;Summary!$H62,"YES","NO")</f>
        <v>NO</v>
      </c>
      <c r="N15" s="62" t="str">
        <f>IF(N$7&gt;Summary!$H62,"YES","NO")</f>
        <v>NO</v>
      </c>
      <c r="O15" s="62" t="str">
        <f>IF(O$7&gt;Summary!$H62,"YES","NO")</f>
        <v>NO</v>
      </c>
      <c r="P15" s="62" t="str">
        <f>IF(P$7&gt;Summary!$H62,"YES","NO")</f>
        <v>NO</v>
      </c>
      <c r="Q15" s="62" t="str">
        <f>IF(Q$7&gt;Summary!$H62,"YES","NO")</f>
        <v>NO</v>
      </c>
      <c r="R15" s="62" t="str">
        <f>IF(R$7&gt;Summary!$H62,"YES","NO")</f>
        <v>NO</v>
      </c>
      <c r="S15" s="62" t="str">
        <f>IF(S$7&gt;Summary!$H62,"YES","NO")</f>
        <v>NO</v>
      </c>
      <c r="T15" s="62" t="str">
        <f>IF(T$7&gt;Summary!$H62,"YES","NO")</f>
        <v>NO</v>
      </c>
      <c r="U15" s="62" t="str">
        <f>IF(U$7&gt;Summary!$H62,"YES","NO")</f>
        <v>NO</v>
      </c>
      <c r="V15" s="62" t="str">
        <f>IF(V$7&gt;Summary!$H62,"YES","NO")</f>
        <v>NO</v>
      </c>
      <c r="W15" s="62" t="str">
        <f>IF(W$7&gt;Summary!$H62,"YES","NO")</f>
        <v>NO</v>
      </c>
      <c r="X15" s="62" t="str">
        <f>IF(X$7&gt;Summary!$H62,"YES","NO")</f>
        <v>NO</v>
      </c>
      <c r="Y15" s="62" t="str">
        <f>IF(Y$7&gt;Summary!$H62,"YES","NO")</f>
        <v>NO</v>
      </c>
      <c r="Z15" s="62" t="str">
        <f>IF(Z$7&gt;Summary!$H62,"YES","NO")</f>
        <v>NO</v>
      </c>
      <c r="AA15" s="62" t="str">
        <f>IF(AA$7&gt;Summary!$H62,"YES","NO")</f>
        <v>NO</v>
      </c>
      <c r="AB15" s="62" t="str">
        <f>IF(AB$7&gt;Summary!$H62,"YES","NO")</f>
        <v>NO</v>
      </c>
      <c r="AC15" s="62" t="str">
        <f>IF(AC$7&gt;Summary!$H62,"YES","NO")</f>
        <v>NO</v>
      </c>
      <c r="AD15" s="62" t="str">
        <f>IF(AD$7&gt;Summary!$H62,"YES","NO")</f>
        <v>NO</v>
      </c>
      <c r="AE15" s="62" t="str">
        <f>IF(AE$7&gt;Summary!$H62,"YES","NO")</f>
        <v>NO</v>
      </c>
      <c r="AF15" s="62" t="str">
        <f>IF(AF$7&gt;Summary!$H62,"YES","NO")</f>
        <v>NO</v>
      </c>
    </row>
    <row r="16" spans="1:32" ht="11.25">
      <c r="A16" t="s">
        <v>137</v>
      </c>
      <c r="I16" s="33">
        <f>IF(I14="NO",0,(IF(I14="YES",H16+1,3)))</f>
        <v>0</v>
      </c>
      <c r="J16">
        <f aca="true" t="shared" si="2" ref="J16:AF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t="shared" si="2"/>
        <v>15</v>
      </c>
      <c r="Y16">
        <f t="shared" si="2"/>
        <v>16</v>
      </c>
      <c r="Z16">
        <f t="shared" si="2"/>
        <v>17</v>
      </c>
      <c r="AA16">
        <f t="shared" si="2"/>
        <v>18</v>
      </c>
      <c r="AB16">
        <f t="shared" si="2"/>
        <v>19</v>
      </c>
      <c r="AC16">
        <f t="shared" si="2"/>
        <v>20</v>
      </c>
      <c r="AD16">
        <f t="shared" si="2"/>
        <v>21</v>
      </c>
      <c r="AE16">
        <f t="shared" si="2"/>
        <v>22</v>
      </c>
      <c r="AF16">
        <f t="shared" si="2"/>
        <v>23</v>
      </c>
    </row>
    <row r="17" spans="1:32" s="111" customFormat="1" ht="11.25">
      <c r="A17" s="111" t="s">
        <v>22</v>
      </c>
      <c r="G17" s="119"/>
      <c r="I17" s="113">
        <f>I16*$G$12</f>
        <v>0</v>
      </c>
      <c r="J17" s="143">
        <f aca="true" t="shared" si="3" ref="J17:AF17">J16*$G$12*$G$19/2000</f>
        <v>11.025</v>
      </c>
      <c r="K17" s="143">
        <f t="shared" si="3"/>
        <v>22.05</v>
      </c>
      <c r="L17" s="143">
        <f t="shared" si="3"/>
        <v>33.075</v>
      </c>
      <c r="M17" s="143">
        <f t="shared" si="3"/>
        <v>44.1</v>
      </c>
      <c r="N17" s="143">
        <f t="shared" si="3"/>
        <v>55.125</v>
      </c>
      <c r="O17" s="143">
        <f t="shared" si="3"/>
        <v>66.15</v>
      </c>
      <c r="P17" s="143">
        <f t="shared" si="3"/>
        <v>77.175</v>
      </c>
      <c r="Q17" s="143">
        <f t="shared" si="3"/>
        <v>88.2</v>
      </c>
      <c r="R17" s="143">
        <f t="shared" si="3"/>
        <v>99.225</v>
      </c>
      <c r="S17" s="143">
        <f t="shared" si="3"/>
        <v>110.25</v>
      </c>
      <c r="T17" s="143">
        <f t="shared" si="3"/>
        <v>121.275</v>
      </c>
      <c r="U17" s="143">
        <f t="shared" si="3"/>
        <v>132.3</v>
      </c>
      <c r="V17" s="143">
        <f t="shared" si="3"/>
        <v>143.325</v>
      </c>
      <c r="W17" s="143">
        <f t="shared" si="3"/>
        <v>154.35</v>
      </c>
      <c r="X17" s="143">
        <f t="shared" si="3"/>
        <v>165.375</v>
      </c>
      <c r="Y17" s="143">
        <f t="shared" si="3"/>
        <v>176.4</v>
      </c>
      <c r="Z17" s="143">
        <f t="shared" si="3"/>
        <v>187.425</v>
      </c>
      <c r="AA17" s="143">
        <f t="shared" si="3"/>
        <v>198.45</v>
      </c>
      <c r="AB17" s="143">
        <f t="shared" si="3"/>
        <v>209.475</v>
      </c>
      <c r="AC17" s="143">
        <f t="shared" si="3"/>
        <v>220.5</v>
      </c>
      <c r="AD17" s="143">
        <f t="shared" si="3"/>
        <v>231.525</v>
      </c>
      <c r="AE17" s="143">
        <f t="shared" si="3"/>
        <v>242.55</v>
      </c>
      <c r="AF17" s="143">
        <f t="shared" si="3"/>
        <v>253.575</v>
      </c>
    </row>
    <row r="18" spans="1:8" ht="11.25">
      <c r="A18" t="s">
        <v>42</v>
      </c>
      <c r="G18" s="23">
        <f>44/12</f>
        <v>3.6666666666666665</v>
      </c>
      <c r="H18" s="39"/>
    </row>
    <row r="19" spans="1:7" ht="11.25">
      <c r="A19" t="s">
        <v>35</v>
      </c>
      <c r="G19" s="20">
        <v>2205</v>
      </c>
    </row>
    <row r="21" spans="1:7" ht="11.25">
      <c r="A21" t="s">
        <v>232</v>
      </c>
      <c r="G21">
        <v>19.71</v>
      </c>
    </row>
    <row r="22" ht="11.25">
      <c r="A22" s="34" t="s">
        <v>233</v>
      </c>
    </row>
    <row r="23" spans="1:7" ht="11.25">
      <c r="A23" t="s">
        <v>235</v>
      </c>
      <c r="G23">
        <v>5.67</v>
      </c>
    </row>
    <row r="24" ht="11.25">
      <c r="A24" s="34" t="s">
        <v>234</v>
      </c>
    </row>
    <row r="25" spans="1:7" ht="11.25">
      <c r="A25" t="s">
        <v>51</v>
      </c>
      <c r="G25" s="25">
        <f>G23*1000000/42</f>
        <v>135000</v>
      </c>
    </row>
    <row r="26" spans="1:7" ht="12">
      <c r="A26" s="9" t="s">
        <v>236</v>
      </c>
      <c r="G26" s="35">
        <f>(G21*G19*1000000)/(1000000000*1000000/G25)</f>
        <v>5.86717425</v>
      </c>
    </row>
    <row r="27" spans="1:32" ht="12">
      <c r="A27" s="9" t="s">
        <v>237</v>
      </c>
      <c r="G27" s="23">
        <f>G26*G18</f>
        <v>21.512972249999997</v>
      </c>
      <c r="H27" s="35"/>
      <c r="J27" s="24"/>
      <c r="K27" s="7"/>
      <c r="L27" s="7"/>
      <c r="M27" s="7"/>
      <c r="N27" s="7"/>
      <c r="O27" s="7"/>
      <c r="P27" s="7"/>
      <c r="Q27" s="7"/>
      <c r="R27" s="7"/>
      <c r="S27" s="7"/>
      <c r="T27" s="7"/>
      <c r="U27" s="7"/>
      <c r="V27" s="7"/>
      <c r="W27" s="7"/>
      <c r="X27" s="7"/>
      <c r="Y27" s="7"/>
      <c r="Z27" s="7"/>
      <c r="AA27" s="7"/>
      <c r="AB27" s="7"/>
      <c r="AC27" s="7"/>
      <c r="AD27" s="7"/>
      <c r="AE27" s="7"/>
      <c r="AF27" s="7"/>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10" ht="11.25">
      <c r="A29" s="97" t="s">
        <v>238</v>
      </c>
      <c r="H29" s="97">
        <f>Summary!H59</f>
        <v>10</v>
      </c>
      <c r="I29" s="97" t="s">
        <v>128</v>
      </c>
      <c r="J29" s="126"/>
    </row>
    <row r="30" spans="1:32" ht="12">
      <c r="A30" s="9"/>
      <c r="G30" s="23"/>
      <c r="H30" s="35"/>
      <c r="J30" s="24"/>
      <c r="K30" s="7"/>
      <c r="L30" s="7"/>
      <c r="M30" s="7"/>
      <c r="N30" s="7"/>
      <c r="O30" s="7"/>
      <c r="P30" s="7"/>
      <c r="Q30" s="7"/>
      <c r="R30" s="7"/>
      <c r="S30" s="7"/>
      <c r="T30" s="7"/>
      <c r="U30" s="7"/>
      <c r="V30" s="7"/>
      <c r="W30" s="7"/>
      <c r="X30" s="7"/>
      <c r="Y30" s="7"/>
      <c r="Z30" s="7"/>
      <c r="AA30" s="7"/>
      <c r="AB30" s="7"/>
      <c r="AC30" s="7"/>
      <c r="AD30" s="7"/>
      <c r="AE30" s="7"/>
      <c r="AF30" s="7"/>
    </row>
    <row r="31" spans="1:32" ht="12">
      <c r="A31" s="9"/>
      <c r="G31" s="23"/>
      <c r="H31" s="35"/>
      <c r="N31" s="7"/>
      <c r="O31" s="7"/>
      <c r="P31" s="7"/>
      <c r="Q31" s="7"/>
      <c r="R31" s="7"/>
      <c r="S31" s="7"/>
      <c r="T31" s="7"/>
      <c r="U31" s="7"/>
      <c r="V31" s="7"/>
      <c r="W31" s="7"/>
      <c r="X31" s="7"/>
      <c r="Y31" s="7"/>
      <c r="Z31" s="7"/>
      <c r="AA31" s="7"/>
      <c r="AB31" s="7"/>
      <c r="AC31" s="7"/>
      <c r="AD31" s="7"/>
      <c r="AE31" s="7"/>
      <c r="AF31" s="7"/>
    </row>
    <row r="32" spans="1:7" ht="11.25">
      <c r="A32" t="s">
        <v>239</v>
      </c>
      <c r="G32" s="122">
        <v>1623.629</v>
      </c>
    </row>
    <row r="33" spans="1:18" ht="11.25">
      <c r="A33" s="3" t="s">
        <v>172</v>
      </c>
      <c r="R33" s="4"/>
    </row>
    <row r="34" spans="1:18" ht="11.25">
      <c r="A34" t="s">
        <v>240</v>
      </c>
      <c r="G34" s="25">
        <f>G32*42*365/1000</f>
        <v>24890.232569999996</v>
      </c>
      <c r="R34" s="6"/>
    </row>
    <row r="35" ht="11.25">
      <c r="I35" s="77"/>
    </row>
    <row r="36" spans="1:7" ht="11.25">
      <c r="A36" s="99" t="s">
        <v>276</v>
      </c>
      <c r="G36" s="99">
        <v>0.03</v>
      </c>
    </row>
    <row r="37" spans="1:7" ht="11.25">
      <c r="A37" s="3" t="s">
        <v>277</v>
      </c>
      <c r="G37" s="5"/>
    </row>
    <row r="39" spans="1:32" ht="11.25">
      <c r="A39" t="s">
        <v>253</v>
      </c>
      <c r="I39" s="70">
        <f>G34*(1+G36)</f>
        <v>25636.939547099995</v>
      </c>
      <c r="J39" s="25">
        <f>G34*(1+G36)^3</f>
        <v>27198.229165518387</v>
      </c>
      <c r="K39" s="25">
        <f>J39*(1+$G$36)</f>
        <v>28014.17604048394</v>
      </c>
      <c r="L39" s="25">
        <f aca="true" t="shared" si="4" ref="L39:AF39">K39*(1+$G$36)</f>
        <v>28854.60132169846</v>
      </c>
      <c r="M39" s="25">
        <f t="shared" si="4"/>
        <v>29720.239361349417</v>
      </c>
      <c r="N39" s="25">
        <f t="shared" si="4"/>
        <v>30611.8465421899</v>
      </c>
      <c r="O39" s="25">
        <f t="shared" si="4"/>
        <v>31530.2019384556</v>
      </c>
      <c r="P39" s="25">
        <f t="shared" si="4"/>
        <v>32476.10799660927</v>
      </c>
      <c r="Q39" s="25">
        <f t="shared" si="4"/>
        <v>33450.391236507545</v>
      </c>
      <c r="R39" s="25">
        <f t="shared" si="4"/>
        <v>34453.90297360277</v>
      </c>
      <c r="S39" s="25">
        <f t="shared" si="4"/>
        <v>35487.52006281086</v>
      </c>
      <c r="T39" s="25">
        <f t="shared" si="4"/>
        <v>36552.145664695185</v>
      </c>
      <c r="U39" s="25">
        <f t="shared" si="4"/>
        <v>37648.71003463604</v>
      </c>
      <c r="V39" s="25">
        <f t="shared" si="4"/>
        <v>38778.17133567512</v>
      </c>
      <c r="W39" s="25">
        <f t="shared" si="4"/>
        <v>39941.516475745375</v>
      </c>
      <c r="X39" s="25">
        <f t="shared" si="4"/>
        <v>41139.76197001774</v>
      </c>
      <c r="Y39" s="25">
        <f t="shared" si="4"/>
        <v>42373.95482911827</v>
      </c>
      <c r="Z39" s="25">
        <f t="shared" si="4"/>
        <v>43645.173473991825</v>
      </c>
      <c r="AA39" s="25">
        <f t="shared" si="4"/>
        <v>44954.52867821158</v>
      </c>
      <c r="AB39" s="25">
        <f t="shared" si="4"/>
        <v>46303.164538557925</v>
      </c>
      <c r="AC39" s="25">
        <f t="shared" si="4"/>
        <v>47692.259474714665</v>
      </c>
      <c r="AD39" s="25">
        <f t="shared" si="4"/>
        <v>49123.02725895611</v>
      </c>
      <c r="AE39" s="25">
        <f t="shared" si="4"/>
        <v>50596.71807672479</v>
      </c>
      <c r="AF39" s="25">
        <f t="shared" si="4"/>
        <v>52114.61961902654</v>
      </c>
    </row>
    <row r="40" spans="1:7" ht="11.25">
      <c r="A40" s="3" t="s">
        <v>122</v>
      </c>
      <c r="G40" s="5"/>
    </row>
    <row r="42" spans="1:33" ht="12">
      <c r="A42" t="s">
        <v>40</v>
      </c>
      <c r="G42" s="19"/>
      <c r="I42" s="29">
        <f aca="true" t="shared" si="5" ref="I42:AF42">I39*$G$27/$G$19</f>
        <v>250.12551884430368</v>
      </c>
      <c r="J42" s="19">
        <f t="shared" si="5"/>
        <v>265.3581629419218</v>
      </c>
      <c r="K42" s="19">
        <f t="shared" si="5"/>
        <v>273.3189078301795</v>
      </c>
      <c r="L42" s="19">
        <f t="shared" si="5"/>
        <v>281.5184750650849</v>
      </c>
      <c r="M42" s="19">
        <f t="shared" si="5"/>
        <v>289.9640293170375</v>
      </c>
      <c r="N42" s="19">
        <f t="shared" si="5"/>
        <v>298.6629501965486</v>
      </c>
      <c r="O42" s="19">
        <f t="shared" si="5"/>
        <v>307.6228387024451</v>
      </c>
      <c r="P42" s="19">
        <f t="shared" si="5"/>
        <v>316.8515238635184</v>
      </c>
      <c r="Q42" s="19">
        <f t="shared" si="5"/>
        <v>326.357069579424</v>
      </c>
      <c r="R42" s="19">
        <f t="shared" si="5"/>
        <v>336.14778166680674</v>
      </c>
      <c r="S42" s="19">
        <f t="shared" si="5"/>
        <v>346.23221511681095</v>
      </c>
      <c r="T42" s="19">
        <f t="shared" si="5"/>
        <v>356.6191815703153</v>
      </c>
      <c r="U42" s="19">
        <f t="shared" si="5"/>
        <v>367.3177570174247</v>
      </c>
      <c r="V42" s="19">
        <f t="shared" si="5"/>
        <v>378.33728972794745</v>
      </c>
      <c r="W42" s="19">
        <f t="shared" si="5"/>
        <v>389.6874084197859</v>
      </c>
      <c r="X42" s="19">
        <f t="shared" si="5"/>
        <v>401.3780306723795</v>
      </c>
      <c r="Y42" s="19">
        <f t="shared" si="5"/>
        <v>413.4193715925509</v>
      </c>
      <c r="Z42" s="19">
        <f t="shared" si="5"/>
        <v>425.8219527403275</v>
      </c>
      <c r="AA42" s="19">
        <f t="shared" si="5"/>
        <v>438.59661132253734</v>
      </c>
      <c r="AB42" s="19">
        <f t="shared" si="5"/>
        <v>451.7545096622134</v>
      </c>
      <c r="AC42" s="19">
        <f t="shared" si="5"/>
        <v>465.3071449520798</v>
      </c>
      <c r="AD42" s="19">
        <f t="shared" si="5"/>
        <v>479.26635930064225</v>
      </c>
      <c r="AE42" s="19">
        <f t="shared" si="5"/>
        <v>493.6443500796615</v>
      </c>
      <c r="AF42" s="19">
        <f t="shared" si="5"/>
        <v>508.4536805820514</v>
      </c>
      <c r="AG42" s="19"/>
    </row>
    <row r="44" spans="1:7" ht="11.25">
      <c r="A44" s="99" t="s">
        <v>272</v>
      </c>
      <c r="G44" s="100">
        <f>1%/5</f>
        <v>0.002</v>
      </c>
    </row>
    <row r="45" spans="1:7" ht="11.25">
      <c r="A45" s="3" t="s">
        <v>241</v>
      </c>
      <c r="G45" s="5"/>
    </row>
    <row r="46" spans="1:7" ht="11.25">
      <c r="A46" t="s">
        <v>114</v>
      </c>
      <c r="G46" s="17">
        <f>G44*Summary!H53/10</f>
        <v>0.002</v>
      </c>
    </row>
    <row r="47" spans="1:33" ht="11.25">
      <c r="A47" t="s">
        <v>242</v>
      </c>
      <c r="E47" s="2"/>
      <c r="F47" s="37"/>
      <c r="H47" s="22">
        <f>G27*G12/2000+H29/100</f>
        <v>0.20756486124999998</v>
      </c>
      <c r="J47" s="36">
        <f aca="true" t="shared" si="6" ref="J47:AF47">J51*$G$12*J16/2000+J16*$H29/100</f>
        <v>0.20732770505650683</v>
      </c>
      <c r="K47" s="36">
        <f t="shared" si="6"/>
        <v>0.414182143477576</v>
      </c>
      <c r="L47" s="36">
        <f t="shared" si="6"/>
        <v>0.6205648804320617</v>
      </c>
      <c r="M47" s="36">
        <f t="shared" si="6"/>
        <v>0.8264774764876939</v>
      </c>
      <c r="N47" s="36">
        <f t="shared" si="6"/>
        <v>1.0319214876237586</v>
      </c>
      <c r="O47" s="36">
        <f t="shared" si="6"/>
        <v>1.236898465243745</v>
      </c>
      <c r="P47" s="36">
        <f t="shared" si="6"/>
        <v>1.4414099561879579</v>
      </c>
      <c r="Q47" s="36">
        <f t="shared" si="6"/>
        <v>1.6454575027461005</v>
      </c>
      <c r="R47" s="36">
        <f t="shared" si="6"/>
        <v>1.8490426426698185</v>
      </c>
      <c r="S47" s="36">
        <f t="shared" si="6"/>
        <v>2.052166909185215</v>
      </c>
      <c r="T47" s="36">
        <f t="shared" si="6"/>
        <v>2.2548318310053315</v>
      </c>
      <c r="U47" s="36">
        <f t="shared" si="6"/>
        <v>2.4570389323425936</v>
      </c>
      <c r="V47" s="36">
        <f t="shared" si="6"/>
        <v>2.658789732921228</v>
      </c>
      <c r="W47" s="36">
        <f t="shared" si="6"/>
        <v>2.860085747989644</v>
      </c>
      <c r="X47" s="36">
        <f t="shared" si="6"/>
        <v>3.0609284883327783</v>
      </c>
      <c r="Y47" s="36">
        <f t="shared" si="6"/>
        <v>3.2613194602844167</v>
      </c>
      <c r="Z47" s="36">
        <f t="shared" si="6"/>
        <v>3.461260165739475</v>
      </c>
      <c r="AA47" s="36">
        <f t="shared" si="6"/>
        <v>3.660752102166249</v>
      </c>
      <c r="AB47" s="36">
        <f t="shared" si="6"/>
        <v>3.8597967626186365</v>
      </c>
      <c r="AC47" s="36">
        <f t="shared" si="6"/>
        <v>4.058395635748321</v>
      </c>
      <c r="AD47" s="36">
        <f t="shared" si="6"/>
        <v>4.256550205816926</v>
      </c>
      <c r="AE47" s="36">
        <f t="shared" si="6"/>
        <v>4.454261952708136</v>
      </c>
      <c r="AF47" s="36">
        <f t="shared" si="6"/>
        <v>4.65153235193979</v>
      </c>
      <c r="AG47" s="36"/>
    </row>
    <row r="48" spans="1:32" ht="11.25">
      <c r="A48" t="s">
        <v>244</v>
      </c>
      <c r="H48" s="36">
        <f>2+0.22+0.1</f>
        <v>2.3200000000000003</v>
      </c>
      <c r="I48" s="88"/>
      <c r="J48" s="36">
        <f aca="true" t="shared" si="7" ref="J48:AF48">$H$48+J47</f>
        <v>2.527327705056507</v>
      </c>
      <c r="K48" s="36">
        <f t="shared" si="7"/>
        <v>2.734182143477576</v>
      </c>
      <c r="L48" s="36">
        <f t="shared" si="7"/>
        <v>2.940564880432062</v>
      </c>
      <c r="M48" s="36">
        <f t="shared" si="7"/>
        <v>3.146477476487694</v>
      </c>
      <c r="N48" s="36">
        <f t="shared" si="7"/>
        <v>3.351921487623759</v>
      </c>
      <c r="O48" s="36">
        <f t="shared" si="7"/>
        <v>3.556898465243745</v>
      </c>
      <c r="P48" s="36">
        <f t="shared" si="7"/>
        <v>3.761409956187958</v>
      </c>
      <c r="Q48" s="36">
        <f t="shared" si="7"/>
        <v>3.9654575027461005</v>
      </c>
      <c r="R48" s="36">
        <f t="shared" si="7"/>
        <v>4.169042642669819</v>
      </c>
      <c r="S48" s="36">
        <f t="shared" si="7"/>
        <v>4.372166909185215</v>
      </c>
      <c r="T48" s="36">
        <f t="shared" si="7"/>
        <v>4.574831831005332</v>
      </c>
      <c r="U48" s="36">
        <f t="shared" si="7"/>
        <v>4.7770389323425935</v>
      </c>
      <c r="V48" s="36">
        <f t="shared" si="7"/>
        <v>4.9787897329212285</v>
      </c>
      <c r="W48" s="36">
        <f t="shared" si="7"/>
        <v>5.1800857479896445</v>
      </c>
      <c r="X48" s="36">
        <f t="shared" si="7"/>
        <v>5.380928488332779</v>
      </c>
      <c r="Y48" s="36">
        <f t="shared" si="7"/>
        <v>5.581319460284417</v>
      </c>
      <c r="Z48" s="36">
        <f t="shared" si="7"/>
        <v>5.781260165739475</v>
      </c>
      <c r="AA48" s="36">
        <f t="shared" si="7"/>
        <v>5.9807521021662495</v>
      </c>
      <c r="AB48" s="36">
        <f t="shared" si="7"/>
        <v>6.179796762618636</v>
      </c>
      <c r="AC48" s="36">
        <f t="shared" si="7"/>
        <v>6.378395635748321</v>
      </c>
      <c r="AD48" s="36">
        <f t="shared" si="7"/>
        <v>6.576550205816926</v>
      </c>
      <c r="AE48" s="36">
        <f t="shared" si="7"/>
        <v>6.7742619527081365</v>
      </c>
      <c r="AF48" s="36">
        <f t="shared" si="7"/>
        <v>6.97153235193979</v>
      </c>
    </row>
    <row r="49" ht="11.25">
      <c r="A49" s="3" t="s">
        <v>243</v>
      </c>
    </row>
    <row r="51" spans="1:32" ht="11.25">
      <c r="A51" t="s">
        <v>59</v>
      </c>
      <c r="G51" s="23">
        <f>G27</f>
        <v>21.512972249999997</v>
      </c>
      <c r="I51" s="72">
        <f aca="true" t="shared" si="8" ref="I51:AF51">$G$51*(1-$G$46)^(I17/$G$12)</f>
        <v>21.512972249999997</v>
      </c>
      <c r="J51" s="7">
        <f t="shared" si="8"/>
        <v>21.465541011301365</v>
      </c>
      <c r="K51" s="7">
        <f t="shared" si="8"/>
        <v>21.418214347757598</v>
      </c>
      <c r="L51" s="7">
        <f t="shared" si="8"/>
        <v>21.370992028804114</v>
      </c>
      <c r="M51" s="7">
        <f t="shared" si="8"/>
        <v>21.323873824384698</v>
      </c>
      <c r="N51" s="7">
        <f t="shared" si="8"/>
        <v>21.276859504950345</v>
      </c>
      <c r="O51" s="7">
        <f t="shared" si="8"/>
        <v>21.22994884145816</v>
      </c>
      <c r="P51" s="7">
        <f t="shared" si="8"/>
        <v>21.183141605370228</v>
      </c>
      <c r="Q51" s="7">
        <f t="shared" si="8"/>
        <v>21.13643756865251</v>
      </c>
      <c r="R51" s="7">
        <f t="shared" si="8"/>
        <v>21.089836503773743</v>
      </c>
      <c r="S51" s="7">
        <f t="shared" si="8"/>
        <v>21.0433381837043</v>
      </c>
      <c r="T51" s="7">
        <f t="shared" si="8"/>
        <v>20.99694238191511</v>
      </c>
      <c r="U51" s="7">
        <f t="shared" si="8"/>
        <v>20.95064887237656</v>
      </c>
      <c r="V51" s="7">
        <f t="shared" si="8"/>
        <v>20.90445742955736</v>
      </c>
      <c r="W51" s="7">
        <f t="shared" si="8"/>
        <v>20.858367828423486</v>
      </c>
      <c r="X51" s="7">
        <f t="shared" si="8"/>
        <v>20.812379844437043</v>
      </c>
      <c r="Y51" s="7">
        <f t="shared" si="8"/>
        <v>20.766493253555208</v>
      </c>
      <c r="Z51" s="7">
        <f t="shared" si="8"/>
        <v>20.720707832229113</v>
      </c>
      <c r="AA51" s="7">
        <f t="shared" si="8"/>
        <v>20.675023357402765</v>
      </c>
      <c r="AB51" s="7">
        <f t="shared" si="8"/>
        <v>20.629439606511966</v>
      </c>
      <c r="AC51" s="7">
        <f t="shared" si="8"/>
        <v>20.58395635748321</v>
      </c>
      <c r="AD51" s="7">
        <f t="shared" si="8"/>
        <v>20.538573388732626</v>
      </c>
      <c r="AE51" s="7">
        <f t="shared" si="8"/>
        <v>20.493290479164877</v>
      </c>
      <c r="AF51" s="7">
        <f t="shared" si="8"/>
        <v>20.448107408172085</v>
      </c>
    </row>
    <row r="52" spans="1:8" ht="12">
      <c r="A52" s="9"/>
      <c r="B52" s="9"/>
      <c r="C52" s="9"/>
      <c r="D52" s="9"/>
      <c r="E52" s="9"/>
      <c r="F52" s="9"/>
      <c r="H52" s="38"/>
    </row>
    <row r="53" spans="1:33" s="9" customFormat="1" ht="12">
      <c r="A53" s="45" t="s">
        <v>100</v>
      </c>
      <c r="G53" s="27"/>
      <c r="I53" s="76"/>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2" s="9" customFormat="1" ht="12">
      <c r="A54" s="9" t="s">
        <v>245</v>
      </c>
      <c r="G54" s="27"/>
      <c r="I54" s="74"/>
      <c r="J54" s="28">
        <f aca="true" t="shared" si="9" ref="J54:AF54">J122*J39</f>
        <v>139.32438916627513</v>
      </c>
      <c r="K54" s="28">
        <f t="shared" si="9"/>
        <v>416.8457359648841</v>
      </c>
      <c r="L54" s="28">
        <f t="shared" si="9"/>
        <v>830.7558599346211</v>
      </c>
      <c r="M54" s="28">
        <f t="shared" si="9"/>
        <v>1378.613829747719</v>
      </c>
      <c r="N54" s="28">
        <f t="shared" si="9"/>
        <v>2057.407742292441</v>
      </c>
      <c r="O54" s="28">
        <f t="shared" si="9"/>
        <v>2863.6244947583496</v>
      </c>
      <c r="P54" s="28">
        <f t="shared" si="9"/>
        <v>3793.323599179171</v>
      </c>
      <c r="Q54" s="28">
        <f t="shared" si="9"/>
        <v>4842.212253631483</v>
      </c>
      <c r="R54" s="28">
        <f t="shared" si="9"/>
        <v>6005.719660551952</v>
      </c>
      <c r="S54" s="28">
        <f t="shared" si="9"/>
        <v>7279.069124839796</v>
      </c>
      <c r="T54" s="28">
        <f t="shared" si="9"/>
        <v>8513.718511046116</v>
      </c>
      <c r="U54" s="28">
        <f t="shared" si="9"/>
        <v>9719.992597486038</v>
      </c>
      <c r="V54" s="28">
        <f t="shared" si="9"/>
        <v>10906.267448106972</v>
      </c>
      <c r="W54" s="28">
        <f t="shared" si="9"/>
        <v>12013.125801227685</v>
      </c>
      <c r="X54" s="28">
        <f t="shared" si="9"/>
        <v>13048.364882178255</v>
      </c>
      <c r="Y54" s="28">
        <f t="shared" si="9"/>
        <v>14017.794420258997</v>
      </c>
      <c r="Z54" s="28">
        <f t="shared" si="9"/>
        <v>14925.581715251772</v>
      </c>
      <c r="AA54" s="28">
        <f t="shared" si="9"/>
        <v>15774.50380042254</v>
      </c>
      <c r="AB54" s="28">
        <f t="shared" si="9"/>
        <v>16566.13148048222</v>
      </c>
      <c r="AC54" s="28">
        <f t="shared" si="9"/>
        <v>17300.962300895513</v>
      </c>
      <c r="AD54" s="28">
        <f t="shared" si="9"/>
        <v>17978.514362492777</v>
      </c>
      <c r="AE54" s="28">
        <f t="shared" si="9"/>
        <v>18597.38939565463</v>
      </c>
      <c r="AF54" s="28">
        <f t="shared" si="9"/>
        <v>19155.31107752427</v>
      </c>
    </row>
    <row r="55" spans="1:33" s="9" customFormat="1" ht="12">
      <c r="A55" s="9" t="s">
        <v>246</v>
      </c>
      <c r="I55" s="75"/>
      <c r="J55" s="28">
        <f aca="true" t="shared" si="10" ref="J55:AF55">J39-J54</f>
        <v>27058.904776352112</v>
      </c>
      <c r="K55" s="28">
        <f t="shared" si="10"/>
        <v>27597.330304519055</v>
      </c>
      <c r="L55" s="28">
        <f t="shared" si="10"/>
        <v>28023.84546176384</v>
      </c>
      <c r="M55" s="28">
        <f t="shared" si="10"/>
        <v>28341.625531601698</v>
      </c>
      <c r="N55" s="28">
        <f t="shared" si="10"/>
        <v>28554.43879989746</v>
      </c>
      <c r="O55" s="28">
        <f t="shared" si="10"/>
        <v>28666.57744369725</v>
      </c>
      <c r="P55" s="28">
        <f t="shared" si="10"/>
        <v>28682.7843974301</v>
      </c>
      <c r="Q55" s="28">
        <f t="shared" si="10"/>
        <v>28608.178982876063</v>
      </c>
      <c r="R55" s="28">
        <f t="shared" si="10"/>
        <v>28448.18331305082</v>
      </c>
      <c r="S55" s="28">
        <f t="shared" si="10"/>
        <v>28208.45093797106</v>
      </c>
      <c r="T55" s="28">
        <f t="shared" si="10"/>
        <v>28038.42715364907</v>
      </c>
      <c r="U55" s="28">
        <f t="shared" si="10"/>
        <v>27928.71743715</v>
      </c>
      <c r="V55" s="28">
        <f t="shared" si="10"/>
        <v>27871.90388756815</v>
      </c>
      <c r="W55" s="28">
        <f t="shared" si="10"/>
        <v>27928.39067451769</v>
      </c>
      <c r="X55" s="28">
        <f t="shared" si="10"/>
        <v>28091.397087839483</v>
      </c>
      <c r="Y55" s="28">
        <f t="shared" si="10"/>
        <v>28356.160408859276</v>
      </c>
      <c r="Z55" s="28">
        <f t="shared" si="10"/>
        <v>28719.591758740055</v>
      </c>
      <c r="AA55" s="28">
        <f t="shared" si="10"/>
        <v>29180.024877789037</v>
      </c>
      <c r="AB55" s="28">
        <f t="shared" si="10"/>
        <v>29737.033058075704</v>
      </c>
      <c r="AC55" s="28">
        <f t="shared" si="10"/>
        <v>30391.29717381915</v>
      </c>
      <c r="AD55" s="28">
        <f t="shared" si="10"/>
        <v>31144.51289646333</v>
      </c>
      <c r="AE55" s="28">
        <f t="shared" si="10"/>
        <v>31999.32868107016</v>
      </c>
      <c r="AF55" s="28">
        <f t="shared" si="10"/>
        <v>32959.308541502265</v>
      </c>
      <c r="AG55" s="28"/>
    </row>
    <row r="56" spans="1:32" s="9" customFormat="1" ht="12">
      <c r="A56" s="9" t="s">
        <v>41</v>
      </c>
      <c r="G56" s="27"/>
      <c r="I56" s="76"/>
      <c r="J56" s="29">
        <f aca="true" t="shared" si="11" ref="J56:AF56">J55*J51/$G$19</f>
        <v>263.41679374044656</v>
      </c>
      <c r="K56" s="29">
        <f t="shared" si="11"/>
        <v>268.06600267031996</v>
      </c>
      <c r="L56" s="29">
        <f t="shared" si="11"/>
        <v>271.60878819945276</v>
      </c>
      <c r="M56" s="29">
        <f t="shared" si="11"/>
        <v>274.0831051309907</v>
      </c>
      <c r="N56" s="29">
        <f t="shared" si="11"/>
        <v>275.5323277043633</v>
      </c>
      <c r="O56" s="29">
        <f t="shared" si="11"/>
        <v>276.0045227162771</v>
      </c>
      <c r="P56" s="29">
        <f t="shared" si="11"/>
        <v>275.55169320955355</v>
      </c>
      <c r="Q56" s="29">
        <f t="shared" si="11"/>
        <v>274.22901996571284</v>
      </c>
      <c r="R56" s="29">
        <f t="shared" si="11"/>
        <v>272.09412013679196</v>
      </c>
      <c r="S56" s="29">
        <f t="shared" si="11"/>
        <v>269.20633683725885</v>
      </c>
      <c r="T56" s="29">
        <f t="shared" si="11"/>
        <v>266.99375937627826</v>
      </c>
      <c r="U56" s="29">
        <f t="shared" si="11"/>
        <v>265.362699538118</v>
      </c>
      <c r="V56" s="29">
        <f t="shared" si="11"/>
        <v>264.23901510130736</v>
      </c>
      <c r="W56" s="29">
        <f t="shared" si="11"/>
        <v>264.19076895464957</v>
      </c>
      <c r="X56" s="29">
        <f t="shared" si="11"/>
        <v>265.14686011475186</v>
      </c>
      <c r="Y56" s="29">
        <f t="shared" si="11"/>
        <v>267.055788583812</v>
      </c>
      <c r="Z56" s="29">
        <f t="shared" si="11"/>
        <v>269.8822085685931</v>
      </c>
      <c r="AA56" s="29">
        <f t="shared" si="11"/>
        <v>273.6043972416699</v>
      </c>
      <c r="AB56" s="29">
        <f t="shared" si="11"/>
        <v>278.2123934459966</v>
      </c>
      <c r="AC56" s="29">
        <f t="shared" si="11"/>
        <v>283.70663703999827</v>
      </c>
      <c r="AD56" s="29">
        <f t="shared" si="11"/>
        <v>290.09699037657225</v>
      </c>
      <c r="AE56" s="29">
        <f t="shared" si="11"/>
        <v>297.4020579589309</v>
      </c>
      <c r="AF56" s="29">
        <f t="shared" si="11"/>
        <v>305.6487442883093</v>
      </c>
    </row>
    <row r="57" spans="1:32" s="9" customFormat="1" ht="12">
      <c r="A57" s="9" t="s">
        <v>45</v>
      </c>
      <c r="G57" s="27"/>
      <c r="I57" s="76"/>
      <c r="J57" s="29">
        <f aca="true" t="shared" si="12" ref="J57:AF57">J42-J56</f>
        <v>1.9413692014752542</v>
      </c>
      <c r="K57" s="29">
        <f t="shared" si="12"/>
        <v>5.2529051598595515</v>
      </c>
      <c r="L57" s="29">
        <f t="shared" si="12"/>
        <v>9.909686865632125</v>
      </c>
      <c r="M57" s="29">
        <f t="shared" si="12"/>
        <v>15.880924186046798</v>
      </c>
      <c r="N57" s="29">
        <f t="shared" si="12"/>
        <v>23.130622492185296</v>
      </c>
      <c r="O57" s="29">
        <f t="shared" si="12"/>
        <v>31.618315986168</v>
      </c>
      <c r="P57" s="29">
        <f t="shared" si="12"/>
        <v>41.299830653964875</v>
      </c>
      <c r="Q57" s="29">
        <f t="shared" si="12"/>
        <v>52.12804961371114</v>
      </c>
      <c r="R57" s="29">
        <f t="shared" si="12"/>
        <v>64.05366153001478</v>
      </c>
      <c r="S57" s="29">
        <f t="shared" si="12"/>
        <v>77.0258782795521</v>
      </c>
      <c r="T57" s="29">
        <f t="shared" si="12"/>
        <v>89.62542219403701</v>
      </c>
      <c r="U57" s="29">
        <f t="shared" si="12"/>
        <v>101.95505747930667</v>
      </c>
      <c r="V57" s="29">
        <f t="shared" si="12"/>
        <v>114.09827462664009</v>
      </c>
      <c r="W57" s="29">
        <f t="shared" si="12"/>
        <v>125.49663946513635</v>
      </c>
      <c r="X57" s="29">
        <f t="shared" si="12"/>
        <v>136.23117055762765</v>
      </c>
      <c r="Y57" s="29">
        <f t="shared" si="12"/>
        <v>146.36358300873889</v>
      </c>
      <c r="Z57" s="29">
        <f t="shared" si="12"/>
        <v>155.9397441717344</v>
      </c>
      <c r="AA57" s="29">
        <f t="shared" si="12"/>
        <v>164.99221408086743</v>
      </c>
      <c r="AB57" s="29">
        <f t="shared" si="12"/>
        <v>173.5421162162168</v>
      </c>
      <c r="AC57" s="29">
        <f t="shared" si="12"/>
        <v>181.60050791208153</v>
      </c>
      <c r="AD57" s="29">
        <f t="shared" si="12"/>
        <v>189.16936892407</v>
      </c>
      <c r="AE57" s="29">
        <f t="shared" si="12"/>
        <v>196.24229212073055</v>
      </c>
      <c r="AF57" s="29">
        <f t="shared" si="12"/>
        <v>202.80493629374212</v>
      </c>
    </row>
    <row r="58" spans="1:32" s="9" customFormat="1" ht="12">
      <c r="A58" s="9" t="s">
        <v>216</v>
      </c>
      <c r="G58" s="27"/>
      <c r="I58" s="76"/>
      <c r="J58" s="29">
        <f>$J$42-J56</f>
        <v>1.9413692014752542</v>
      </c>
      <c r="K58" s="29">
        <f aca="true" t="shared" si="13" ref="K58:AF58">$J$42-K56</f>
        <v>-2.7078397283981417</v>
      </c>
      <c r="L58" s="29">
        <f t="shared" si="13"/>
        <v>-6.250625257530942</v>
      </c>
      <c r="M58" s="29">
        <f t="shared" si="13"/>
        <v>-8.724942189068884</v>
      </c>
      <c r="N58" s="29">
        <f t="shared" si="13"/>
        <v>-10.174164762441478</v>
      </c>
      <c r="O58" s="29">
        <f t="shared" si="13"/>
        <v>-10.64635977435529</v>
      </c>
      <c r="P58" s="29">
        <f t="shared" si="13"/>
        <v>-10.19353026763173</v>
      </c>
      <c r="Q58" s="29">
        <f t="shared" si="13"/>
        <v>-8.870857023791018</v>
      </c>
      <c r="R58" s="29">
        <f t="shared" si="13"/>
        <v>-6.735957194870139</v>
      </c>
      <c r="S58" s="29">
        <f t="shared" si="13"/>
        <v>-3.848173895337027</v>
      </c>
      <c r="T58" s="29">
        <f t="shared" si="13"/>
        <v>-1.6355964343564438</v>
      </c>
      <c r="U58" s="29">
        <f t="shared" si="13"/>
        <v>-0.004536596196203391</v>
      </c>
      <c r="V58" s="29">
        <f t="shared" si="13"/>
        <v>1.1191478406144597</v>
      </c>
      <c r="W58" s="29">
        <f t="shared" si="13"/>
        <v>1.1673939872722485</v>
      </c>
      <c r="X58" s="29">
        <f t="shared" si="13"/>
        <v>0.21130282716995907</v>
      </c>
      <c r="Y58" s="29">
        <f t="shared" si="13"/>
        <v>-1.6976256418901698</v>
      </c>
      <c r="Z58" s="29">
        <f t="shared" si="13"/>
        <v>-4.524045626671295</v>
      </c>
      <c r="AA58" s="29">
        <f t="shared" si="13"/>
        <v>-8.246234299748096</v>
      </c>
      <c r="AB58" s="29">
        <f t="shared" si="13"/>
        <v>-12.854230504074792</v>
      </c>
      <c r="AC58" s="29">
        <f t="shared" si="13"/>
        <v>-18.34847409807645</v>
      </c>
      <c r="AD58" s="29">
        <f t="shared" si="13"/>
        <v>-24.73882743465043</v>
      </c>
      <c r="AE58" s="29">
        <f t="shared" si="13"/>
        <v>-32.043895017009106</v>
      </c>
      <c r="AF58" s="29">
        <f t="shared" si="13"/>
        <v>-40.290581346387455</v>
      </c>
    </row>
    <row r="59" spans="1:33" s="9" customFormat="1" ht="12">
      <c r="A59" s="9" t="s">
        <v>247</v>
      </c>
      <c r="G59" s="27"/>
      <c r="I59" s="76"/>
      <c r="J59" s="51">
        <f aca="true" t="shared" si="14" ref="J59:AF59">J56*$G$19*1000000*J17/(2000*1000000)</f>
        <v>3201.847591464737</v>
      </c>
      <c r="K59" s="51">
        <f t="shared" si="14"/>
        <v>6516.718033165812</v>
      </c>
      <c r="L59" s="51">
        <f t="shared" si="14"/>
        <v>9904.265388340835</v>
      </c>
      <c r="M59" s="51">
        <f t="shared" si="14"/>
        <v>13325.98909224505</v>
      </c>
      <c r="N59" s="51">
        <f t="shared" si="14"/>
        <v>16745.563320085083</v>
      </c>
      <c r="O59" s="51">
        <f t="shared" si="14"/>
        <v>20129.11334339411</v>
      </c>
      <c r="P59" s="51">
        <f t="shared" si="14"/>
        <v>23445.43637060064</v>
      </c>
      <c r="Q59" s="51">
        <f t="shared" si="14"/>
        <v>26666.167015975898</v>
      </c>
      <c r="R59" s="51">
        <f t="shared" si="14"/>
        <v>29765.889325306933</v>
      </c>
      <c r="S59" s="51">
        <f t="shared" si="14"/>
        <v>32722.198496529338</v>
      </c>
      <c r="T59" s="51">
        <f t="shared" si="14"/>
        <v>35698.58415561485</v>
      </c>
      <c r="U59" s="51">
        <f t="shared" si="14"/>
        <v>38706.00237665455</v>
      </c>
      <c r="V59" s="51">
        <f t="shared" si="14"/>
        <v>41753.94266543285</v>
      </c>
      <c r="W59" s="51">
        <f t="shared" si="14"/>
        <v>44957.57431993556</v>
      </c>
      <c r="X59" s="51">
        <f t="shared" si="14"/>
        <v>48343.14984560349</v>
      </c>
      <c r="Y59" s="51">
        <f t="shared" si="14"/>
        <v>51937.27681956834</v>
      </c>
      <c r="Z59" s="51">
        <f t="shared" si="14"/>
        <v>55767.39691741786</v>
      </c>
      <c r="AA59" s="51">
        <f t="shared" si="14"/>
        <v>59862.21387745186</v>
      </c>
      <c r="AB59" s="51">
        <f t="shared" si="14"/>
        <v>64252.0915816029</v>
      </c>
      <c r="AC59" s="51">
        <f t="shared" si="14"/>
        <v>68969.43809771989</v>
      </c>
      <c r="AD59" s="51">
        <f t="shared" si="14"/>
        <v>74049.08803087182</v>
      </c>
      <c r="AE59" s="51">
        <f t="shared" si="14"/>
        <v>79528.6932466274</v>
      </c>
      <c r="AF59" s="51">
        <f t="shared" si="14"/>
        <v>85449.1305670311</v>
      </c>
      <c r="AG59" s="51"/>
    </row>
    <row r="60" spans="1:32" s="9" customFormat="1" ht="12">
      <c r="A60" s="9" t="s">
        <v>279</v>
      </c>
      <c r="G60" s="27"/>
      <c r="I60" s="76"/>
      <c r="J60" s="51">
        <f aca="true" t="shared" si="15" ref="J60:AF60">J55*$H$29*J16/100</f>
        <v>2705.8904776352115</v>
      </c>
      <c r="K60" s="51">
        <f t="shared" si="15"/>
        <v>5519.46606090381</v>
      </c>
      <c r="L60" s="51">
        <f t="shared" si="15"/>
        <v>8407.153638529153</v>
      </c>
      <c r="M60" s="51">
        <f t="shared" si="15"/>
        <v>11336.650212640678</v>
      </c>
      <c r="N60" s="51">
        <f t="shared" si="15"/>
        <v>14277.21939994873</v>
      </c>
      <c r="O60" s="51">
        <f t="shared" si="15"/>
        <v>17199.94646621835</v>
      </c>
      <c r="P60" s="51">
        <f t="shared" si="15"/>
        <v>20077.94907820107</v>
      </c>
      <c r="Q60" s="51">
        <f t="shared" si="15"/>
        <v>22886.54318630085</v>
      </c>
      <c r="R60" s="51">
        <f t="shared" si="15"/>
        <v>25603.364981745737</v>
      </c>
      <c r="S60" s="51">
        <f t="shared" si="15"/>
        <v>28208.450937971058</v>
      </c>
      <c r="T60" s="51">
        <f t="shared" si="15"/>
        <v>30842.269869013977</v>
      </c>
      <c r="U60" s="51">
        <f t="shared" si="15"/>
        <v>33514.46092458</v>
      </c>
      <c r="V60" s="51">
        <f t="shared" si="15"/>
        <v>36233.4750538386</v>
      </c>
      <c r="W60" s="51">
        <f t="shared" si="15"/>
        <v>39099.74694432477</v>
      </c>
      <c r="X60" s="51">
        <f t="shared" si="15"/>
        <v>42137.09563175922</v>
      </c>
      <c r="Y60" s="51">
        <f t="shared" si="15"/>
        <v>45369.85665417484</v>
      </c>
      <c r="Z60" s="51">
        <f t="shared" si="15"/>
        <v>48823.30598985809</v>
      </c>
      <c r="AA60" s="51">
        <f t="shared" si="15"/>
        <v>52524.04478002027</v>
      </c>
      <c r="AB60" s="51">
        <f t="shared" si="15"/>
        <v>56500.36281034384</v>
      </c>
      <c r="AC60" s="51">
        <f t="shared" si="15"/>
        <v>60782.5943476383</v>
      </c>
      <c r="AD60" s="51">
        <f t="shared" si="15"/>
        <v>65403.47708257299</v>
      </c>
      <c r="AE60" s="51">
        <f t="shared" si="15"/>
        <v>70398.52309835434</v>
      </c>
      <c r="AF60" s="51">
        <f t="shared" si="15"/>
        <v>75806.40964545522</v>
      </c>
    </row>
    <row r="61" spans="1:33" s="9" customFormat="1" ht="12">
      <c r="A61" s="9" t="s">
        <v>280</v>
      </c>
      <c r="G61" s="27"/>
      <c r="I61" s="76"/>
      <c r="J61" s="51">
        <f aca="true" t="shared" si="16" ref="J61:AF61">J59+J60</f>
        <v>5907.738069099949</v>
      </c>
      <c r="K61" s="51">
        <f t="shared" si="16"/>
        <v>12036.184094069622</v>
      </c>
      <c r="L61" s="51">
        <f t="shared" si="16"/>
        <v>18311.41902686999</v>
      </c>
      <c r="M61" s="130">
        <f t="shared" si="16"/>
        <v>24662.639304885728</v>
      </c>
      <c r="N61" s="130">
        <f t="shared" si="16"/>
        <v>31022.782720033814</v>
      </c>
      <c r="O61" s="130">
        <f t="shared" si="16"/>
        <v>37329.05980961246</v>
      </c>
      <c r="P61" s="130">
        <f t="shared" si="16"/>
        <v>43523.38544880171</v>
      </c>
      <c r="Q61" s="130">
        <f t="shared" si="16"/>
        <v>49552.71020227675</v>
      </c>
      <c r="R61" s="130">
        <f t="shared" si="16"/>
        <v>55369.25430705267</v>
      </c>
      <c r="S61" s="130">
        <f t="shared" si="16"/>
        <v>60930.649434500396</v>
      </c>
      <c r="T61" s="130">
        <f t="shared" si="16"/>
        <v>66540.85402462883</v>
      </c>
      <c r="U61" s="130">
        <f t="shared" si="16"/>
        <v>72220.46330123456</v>
      </c>
      <c r="V61" s="130">
        <f t="shared" si="16"/>
        <v>77987.41771927144</v>
      </c>
      <c r="W61" s="130">
        <f t="shared" si="16"/>
        <v>84057.32126426033</v>
      </c>
      <c r="X61" s="130">
        <f t="shared" si="16"/>
        <v>90480.24547736271</v>
      </c>
      <c r="Y61" s="130">
        <f t="shared" si="16"/>
        <v>97307.13347374318</v>
      </c>
      <c r="Z61" s="130">
        <f t="shared" si="16"/>
        <v>104590.70290727595</v>
      </c>
      <c r="AA61" s="130">
        <f t="shared" si="16"/>
        <v>112386.25865747212</v>
      </c>
      <c r="AB61" s="130">
        <f t="shared" si="16"/>
        <v>120752.45439194674</v>
      </c>
      <c r="AC61" s="130">
        <f t="shared" si="16"/>
        <v>129752.0324453582</v>
      </c>
      <c r="AD61" s="130">
        <f t="shared" si="16"/>
        <v>139452.5651134448</v>
      </c>
      <c r="AE61" s="130">
        <f t="shared" si="16"/>
        <v>149927.21634498175</v>
      </c>
      <c r="AF61" s="130">
        <f t="shared" si="16"/>
        <v>161255.54021248632</v>
      </c>
      <c r="AG61" s="28"/>
    </row>
    <row r="62" spans="7:33" s="9" customFormat="1" ht="12">
      <c r="G62" s="27"/>
      <c r="I62" s="76"/>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2" ht="11.25">
      <c r="A63" t="s">
        <v>248</v>
      </c>
      <c r="H63" s="16"/>
      <c r="J63" s="16">
        <f>J48/H48-1</f>
        <v>0.08936539011056333</v>
      </c>
      <c r="K63" s="16">
        <f aca="true" t="shared" si="17" ref="K63:AF63">K48/J48-1</f>
        <v>0.08184709802658707</v>
      </c>
      <c r="L63" s="16">
        <f t="shared" si="17"/>
        <v>0.07548243903458096</v>
      </c>
      <c r="M63" s="16">
        <f t="shared" si="17"/>
        <v>0.07002484367064099</v>
      </c>
      <c r="N63" s="16">
        <f t="shared" si="17"/>
        <v>0.06529333601503962</v>
      </c>
      <c r="O63" s="16">
        <f t="shared" si="17"/>
        <v>0.06115208198545785</v>
      </c>
      <c r="P63" s="16">
        <f t="shared" si="17"/>
        <v>0.05749714054044497</v>
      </c>
      <c r="Q63" s="16">
        <f t="shared" si="17"/>
        <v>0.054247622283888575</v>
      </c>
      <c r="R63" s="16">
        <f t="shared" si="17"/>
        <v>0.0513396347792745</v>
      </c>
      <c r="S63" s="16">
        <f t="shared" si="17"/>
        <v>0.04872204098764432</v>
      </c>
      <c r="T63" s="16">
        <f t="shared" si="17"/>
        <v>0.04635342749480831</v>
      </c>
      <c r="U63" s="16">
        <f t="shared" si="17"/>
        <v>0.04419989822725934</v>
      </c>
      <c r="V63" s="16">
        <f t="shared" si="17"/>
        <v>0.04223344281594521</v>
      </c>
      <c r="W63" s="16">
        <f t="shared" si="17"/>
        <v>0.04043071225470474</v>
      </c>
      <c r="X63" s="16">
        <f t="shared" si="17"/>
        <v>0.038772087975779135</v>
      </c>
      <c r="Y63" s="16">
        <f t="shared" si="17"/>
        <v>0.03724096545533673</v>
      </c>
      <c r="Z63" s="16">
        <f t="shared" si="17"/>
        <v>0.03582319680459012</v>
      </c>
      <c r="AA63" s="16">
        <f t="shared" si="17"/>
        <v>0.03450665265143926</v>
      </c>
      <c r="AB63" s="16">
        <f t="shared" si="17"/>
        <v>0.03328087455427098</v>
      </c>
      <c r="AC63" s="16">
        <f t="shared" si="17"/>
        <v>0.03213679684921056</v>
      </c>
      <c r="AD63" s="16">
        <f t="shared" si="17"/>
        <v>0.03106652227058948</v>
      </c>
      <c r="AE63" s="16">
        <f t="shared" si="17"/>
        <v>0.03006313959503193</v>
      </c>
      <c r="AF63" s="16">
        <f t="shared" si="17"/>
        <v>0.029120574404831068</v>
      </c>
    </row>
    <row r="65" spans="1:7" ht="11.25">
      <c r="A65" s="99" t="s">
        <v>249</v>
      </c>
      <c r="G65" s="99">
        <v>0.6</v>
      </c>
    </row>
    <row r="66" ht="11.25">
      <c r="A66" s="3" t="s">
        <v>255</v>
      </c>
    </row>
    <row r="68" spans="1:21" ht="11.25">
      <c r="A68" s="3"/>
      <c r="G68" s="5"/>
      <c r="U68" s="6"/>
    </row>
    <row r="69" spans="1:22" ht="11.25">
      <c r="A69" s="99" t="s">
        <v>47</v>
      </c>
      <c r="G69" s="98">
        <v>10</v>
      </c>
      <c r="L69" s="165" t="s">
        <v>251</v>
      </c>
      <c r="M69" s="155"/>
      <c r="N69" s="155"/>
      <c r="O69" s="155"/>
      <c r="P69" s="155"/>
      <c r="Q69" s="155"/>
      <c r="R69" s="155"/>
      <c r="S69" s="155"/>
      <c r="T69" s="155"/>
      <c r="U69" s="155"/>
      <c r="V69" s="155"/>
    </row>
    <row r="70" spans="1:22" ht="11.25">
      <c r="A70" s="3"/>
      <c r="L70" s="155"/>
      <c r="M70" s="155"/>
      <c r="N70" s="155"/>
      <c r="O70" s="155"/>
      <c r="P70" s="155"/>
      <c r="Q70" s="155"/>
      <c r="R70" s="155"/>
      <c r="S70" s="155"/>
      <c r="T70" s="155"/>
      <c r="U70" s="155"/>
      <c r="V70" s="155"/>
    </row>
    <row r="71" spans="12:22" ht="11.25">
      <c r="L71" s="155"/>
      <c r="M71" s="155"/>
      <c r="N71" s="155"/>
      <c r="O71" s="155"/>
      <c r="P71" s="155"/>
      <c r="Q71" s="155"/>
      <c r="R71" s="155"/>
      <c r="S71" s="155"/>
      <c r="T71" s="155"/>
      <c r="U71" s="155"/>
      <c r="V71" s="155"/>
    </row>
    <row r="72" spans="1:26" s="111" customFormat="1" ht="11.25">
      <c r="A72" s="111" t="s">
        <v>36</v>
      </c>
      <c r="G72" s="111">
        <f>J7</f>
        <v>2008</v>
      </c>
      <c r="I72" s="115"/>
      <c r="L72" s="155"/>
      <c r="M72" s="155"/>
      <c r="N72" s="155"/>
      <c r="O72" s="155"/>
      <c r="P72" s="155"/>
      <c r="Q72" s="155"/>
      <c r="R72" s="155"/>
      <c r="S72" s="155"/>
      <c r="T72" s="155"/>
      <c r="U72" s="155"/>
      <c r="V72" s="155"/>
      <c r="X72"/>
      <c r="Y72"/>
      <c r="Z72"/>
    </row>
    <row r="74" spans="1:32" s="41" customFormat="1" ht="11.25">
      <c r="A74" s="30" t="s">
        <v>99</v>
      </c>
      <c r="B74" s="6"/>
      <c r="C74" s="6"/>
      <c r="D74" s="6"/>
      <c r="E74" s="6"/>
      <c r="F74" s="6"/>
      <c r="G74">
        <f>G72</f>
        <v>2008</v>
      </c>
      <c r="I74" s="89"/>
      <c r="J74" s="6">
        <f>IF(J7&gt;=Summary!$H$61+$G$69,$G$65,((J7-$G$72+1)/$G$69)*$G$65)</f>
        <v>0.06</v>
      </c>
      <c r="K74" s="6">
        <f>IF(K7&gt;=Summary!$H$61+$G$69,$G$65,((K7-$G$72+1)/$G$69)*$G$65)</f>
        <v>0.12</v>
      </c>
      <c r="L74" s="6">
        <f>IF(L7&gt;=Summary!$H$61+$G$69,$G$65,((L7-$G$72+1)/$G$69)*$G$65)</f>
        <v>0.18</v>
      </c>
      <c r="M74" s="6">
        <f>IF(M7&gt;=Summary!$H$61+$G$69,$G$65,((M7-$G$72+1)/$G$69)*$G$65)</f>
        <v>0.24</v>
      </c>
      <c r="N74" s="6">
        <f>IF(N7&gt;=Summary!$H$61+$G$69,$G$65,((N7-$G$72+1)/$G$69)*$G$65)</f>
        <v>0.3</v>
      </c>
      <c r="O74" s="6">
        <f>IF(O7&gt;=Summary!$H$61+$G$69,$G$65,((O7-$G$72+1)/$G$69)*$G$65)</f>
        <v>0.36</v>
      </c>
      <c r="P74" s="6">
        <f>IF(P7&gt;=Summary!$H$61+$G$69,$G$65,((P7-$G$72+1)/$G$69)*$G$65)</f>
        <v>0.42</v>
      </c>
      <c r="Q74" s="6">
        <f>IF(Q7&gt;=Summary!$H$61+$G$69,$G$65,((Q7-$G$72+1)/$G$69)*$G$65)</f>
        <v>0.48</v>
      </c>
      <c r="R74" s="6">
        <f>IF(R7&gt;=Summary!$H$61+$G$69,$G$65,((R7-$G$72+1)/$G$69)*$G$65)</f>
        <v>0.54</v>
      </c>
      <c r="S74" s="6">
        <f>IF(S7&gt;=Summary!$H$61+$G$69,$G$65,((S7-$G$72+1)/$G$69)*$G$65)</f>
        <v>0.6</v>
      </c>
      <c r="T74" s="6">
        <f>IF(T7&gt;=Summary!$H$61+$G$69,$G$65,((T7-$G$72+1)/$G$69)*$G$65)</f>
        <v>0.6</v>
      </c>
      <c r="U74" s="6">
        <f>IF(U7&gt;=Summary!$H$61+$G$69,$G$65,((U7-$G$72+1)/$G$69)*$G$65)</f>
        <v>0.6</v>
      </c>
      <c r="V74" s="6">
        <f>IF(V7&gt;=Summary!$H$61+$G$69,$G$65,((V7-$G$72+1)/$G$69)*$G$65)</f>
        <v>0.6</v>
      </c>
      <c r="W74" s="6">
        <f>IF(W7&gt;=Summary!$H$61+$G$69,$G$65,((W7-$G$72+1)/$G$69)*$G$65)</f>
        <v>0.6</v>
      </c>
      <c r="X74" s="6">
        <f>IF(X7&gt;=Summary!$H$61+$G$69,$G$65,((X7-$G$72+1)/$G$69)*$G$65)</f>
        <v>0.6</v>
      </c>
      <c r="Y74" s="6">
        <f>IF(Y7&gt;=Summary!$H$61+$G$69,$G$65,((Y7-$G$72+1)/$G$69)*$G$65)</f>
        <v>0.6</v>
      </c>
      <c r="Z74" s="6">
        <f>IF(Z7&gt;=Summary!$H$61+$G$69,$G$65,((Z7-$G$72+1)/$G$69)*$G$65)</f>
        <v>0.6</v>
      </c>
      <c r="AA74" s="6">
        <f>IF(AA7&gt;=Summary!$H$61+$G$69,$G$65,((AA7-$G$72+1)/$G$69)*$G$65)</f>
        <v>0.6</v>
      </c>
      <c r="AB74" s="6">
        <f>IF(AB7&gt;=Summary!$H$61+$G$69,$G$65,((AB7-$G$72+1)/$G$69)*$G$65)</f>
        <v>0.6</v>
      </c>
      <c r="AC74" s="6">
        <f>IF(AC7&gt;=Summary!$H$61+$G$69,$G$65,((AC7-$G$72+1)/$G$69)*$G$65)</f>
        <v>0.6</v>
      </c>
      <c r="AD74" s="6">
        <f>IF(AD7&gt;=Summary!$H$61+$G$69,$G$65,((AD7-$G$72+1)/$G$69)*$G$65)</f>
        <v>0.6</v>
      </c>
      <c r="AE74" s="6">
        <f>IF(AE7&gt;=Summary!$H$61+$G$69,$G$65,((AE7-$G$72+1)/$G$69)*$G$65)</f>
        <v>0.6</v>
      </c>
      <c r="AF74" s="6">
        <f>IF(AF7&gt;=Summary!$H$61+$G$69,$G$65,((AF7-$G$72+1)/$G$69)*$G$65)</f>
        <v>0.6</v>
      </c>
    </row>
    <row r="75" spans="1:32" s="41" customFormat="1" ht="11.25">
      <c r="A75" s="30" t="s">
        <v>99</v>
      </c>
      <c r="F75"/>
      <c r="G75">
        <f>G74+1</f>
        <v>2009</v>
      </c>
      <c r="I75" s="89"/>
      <c r="J75" s="6"/>
      <c r="K75" s="6">
        <f aca="true" t="shared" si="18" ref="K75:Z75">J74</f>
        <v>0.06</v>
      </c>
      <c r="L75" s="6">
        <f t="shared" si="18"/>
        <v>0.12</v>
      </c>
      <c r="M75" s="6">
        <f t="shared" si="18"/>
        <v>0.18</v>
      </c>
      <c r="N75" s="6">
        <f t="shared" si="18"/>
        <v>0.24</v>
      </c>
      <c r="O75" s="6">
        <f t="shared" si="18"/>
        <v>0.3</v>
      </c>
      <c r="P75" s="6">
        <f t="shared" si="18"/>
        <v>0.36</v>
      </c>
      <c r="Q75" s="6">
        <f t="shared" si="18"/>
        <v>0.42</v>
      </c>
      <c r="R75" s="6">
        <f t="shared" si="18"/>
        <v>0.48</v>
      </c>
      <c r="S75" s="6">
        <f t="shared" si="18"/>
        <v>0.54</v>
      </c>
      <c r="T75" s="6">
        <f t="shared" si="18"/>
        <v>0.6</v>
      </c>
      <c r="U75" s="6">
        <f t="shared" si="18"/>
        <v>0.6</v>
      </c>
      <c r="V75" s="6">
        <f t="shared" si="18"/>
        <v>0.6</v>
      </c>
      <c r="W75" s="6">
        <f t="shared" si="18"/>
        <v>0.6</v>
      </c>
      <c r="X75" s="6">
        <f t="shared" si="18"/>
        <v>0.6</v>
      </c>
      <c r="Y75" s="6">
        <f t="shared" si="18"/>
        <v>0.6</v>
      </c>
      <c r="Z75" s="6">
        <f t="shared" si="18"/>
        <v>0.6</v>
      </c>
      <c r="AA75" s="6">
        <f aca="true" t="shared" si="19" ref="Q75:AF90">Z74</f>
        <v>0.6</v>
      </c>
      <c r="AB75" s="6">
        <f t="shared" si="19"/>
        <v>0.6</v>
      </c>
      <c r="AC75" s="6">
        <f t="shared" si="19"/>
        <v>0.6</v>
      </c>
      <c r="AD75" s="6">
        <f t="shared" si="19"/>
        <v>0.6</v>
      </c>
      <c r="AE75" s="6">
        <f t="shared" si="19"/>
        <v>0.6</v>
      </c>
      <c r="AF75" s="6">
        <f t="shared" si="19"/>
        <v>0.6</v>
      </c>
    </row>
    <row r="76" spans="1:32" s="41" customFormat="1" ht="11.25">
      <c r="A76" s="30" t="s">
        <v>99</v>
      </c>
      <c r="F76"/>
      <c r="G76">
        <f aca="true" t="shared" si="20" ref="G76:G96">G75+1</f>
        <v>2010</v>
      </c>
      <c r="I76" s="89"/>
      <c r="J76" s="6"/>
      <c r="K76" s="6"/>
      <c r="L76" s="6">
        <f aca="true" t="shared" si="21" ref="L76:Z76">K75</f>
        <v>0.06</v>
      </c>
      <c r="M76" s="6">
        <f t="shared" si="21"/>
        <v>0.12</v>
      </c>
      <c r="N76" s="6">
        <f t="shared" si="21"/>
        <v>0.18</v>
      </c>
      <c r="O76" s="6">
        <f t="shared" si="21"/>
        <v>0.24</v>
      </c>
      <c r="P76" s="6">
        <f t="shared" si="21"/>
        <v>0.3</v>
      </c>
      <c r="Q76" s="6">
        <f t="shared" si="21"/>
        <v>0.36</v>
      </c>
      <c r="R76" s="6">
        <f t="shared" si="21"/>
        <v>0.42</v>
      </c>
      <c r="S76" s="6">
        <f t="shared" si="21"/>
        <v>0.48</v>
      </c>
      <c r="T76" s="6">
        <f t="shared" si="21"/>
        <v>0.54</v>
      </c>
      <c r="U76" s="6">
        <f t="shared" si="21"/>
        <v>0.6</v>
      </c>
      <c r="V76" s="6">
        <f t="shared" si="21"/>
        <v>0.6</v>
      </c>
      <c r="W76" s="6">
        <f t="shared" si="21"/>
        <v>0.6</v>
      </c>
      <c r="X76" s="6">
        <f t="shared" si="21"/>
        <v>0.6</v>
      </c>
      <c r="Y76" s="6">
        <f t="shared" si="21"/>
        <v>0.6</v>
      </c>
      <c r="Z76" s="6">
        <f t="shared" si="21"/>
        <v>0.6</v>
      </c>
      <c r="AA76" s="6">
        <f t="shared" si="19"/>
        <v>0.6</v>
      </c>
      <c r="AB76" s="6">
        <f t="shared" si="19"/>
        <v>0.6</v>
      </c>
      <c r="AC76" s="6">
        <f t="shared" si="19"/>
        <v>0.6</v>
      </c>
      <c r="AD76" s="6">
        <f t="shared" si="19"/>
        <v>0.6</v>
      </c>
      <c r="AE76" s="6">
        <f t="shared" si="19"/>
        <v>0.6</v>
      </c>
      <c r="AF76" s="6">
        <f t="shared" si="19"/>
        <v>0.6</v>
      </c>
    </row>
    <row r="77" spans="1:32" s="41" customFormat="1" ht="11.25">
      <c r="A77" s="30" t="s">
        <v>99</v>
      </c>
      <c r="F77"/>
      <c r="G77">
        <f t="shared" si="20"/>
        <v>2011</v>
      </c>
      <c r="H77"/>
      <c r="I77" s="89"/>
      <c r="J77" s="6"/>
      <c r="K77" s="6"/>
      <c r="L77" s="6"/>
      <c r="M77" s="6">
        <f aca="true" t="shared" si="22" ref="M77:Z77">L76</f>
        <v>0.06</v>
      </c>
      <c r="N77" s="6">
        <f t="shared" si="22"/>
        <v>0.12</v>
      </c>
      <c r="O77" s="6">
        <f t="shared" si="22"/>
        <v>0.18</v>
      </c>
      <c r="P77" s="6">
        <f t="shared" si="22"/>
        <v>0.24</v>
      </c>
      <c r="Q77" s="6">
        <f t="shared" si="22"/>
        <v>0.3</v>
      </c>
      <c r="R77" s="6">
        <f t="shared" si="22"/>
        <v>0.36</v>
      </c>
      <c r="S77" s="6">
        <f t="shared" si="22"/>
        <v>0.42</v>
      </c>
      <c r="T77" s="6">
        <f t="shared" si="22"/>
        <v>0.48</v>
      </c>
      <c r="U77" s="6">
        <f t="shared" si="22"/>
        <v>0.54</v>
      </c>
      <c r="V77" s="6">
        <f t="shared" si="22"/>
        <v>0.6</v>
      </c>
      <c r="W77" s="6">
        <f t="shared" si="22"/>
        <v>0.6</v>
      </c>
      <c r="X77" s="6">
        <f t="shared" si="22"/>
        <v>0.6</v>
      </c>
      <c r="Y77" s="6">
        <f t="shared" si="22"/>
        <v>0.6</v>
      </c>
      <c r="Z77" s="6">
        <f t="shared" si="22"/>
        <v>0.6</v>
      </c>
      <c r="AA77" s="6">
        <f t="shared" si="19"/>
        <v>0.6</v>
      </c>
      <c r="AB77" s="6">
        <f t="shared" si="19"/>
        <v>0.6</v>
      </c>
      <c r="AC77" s="6">
        <f t="shared" si="19"/>
        <v>0.6</v>
      </c>
      <c r="AD77" s="6">
        <f t="shared" si="19"/>
        <v>0.6</v>
      </c>
      <c r="AE77" s="6">
        <f t="shared" si="19"/>
        <v>0.6</v>
      </c>
      <c r="AF77" s="6">
        <f t="shared" si="19"/>
        <v>0.6</v>
      </c>
    </row>
    <row r="78" spans="1:32" s="41" customFormat="1" ht="11.25">
      <c r="A78" s="30" t="s">
        <v>99</v>
      </c>
      <c r="F78"/>
      <c r="G78">
        <f t="shared" si="20"/>
        <v>2012</v>
      </c>
      <c r="H78"/>
      <c r="I78" s="89"/>
      <c r="J78" s="6"/>
      <c r="K78" s="6"/>
      <c r="L78" s="6"/>
      <c r="M78" s="6"/>
      <c r="N78" s="6">
        <f aca="true" t="shared" si="23" ref="N78:Z78">M77</f>
        <v>0.06</v>
      </c>
      <c r="O78" s="6">
        <f t="shared" si="23"/>
        <v>0.12</v>
      </c>
      <c r="P78" s="6">
        <f t="shared" si="23"/>
        <v>0.18</v>
      </c>
      <c r="Q78" s="6">
        <f t="shared" si="23"/>
        <v>0.24</v>
      </c>
      <c r="R78" s="6">
        <f t="shared" si="23"/>
        <v>0.3</v>
      </c>
      <c r="S78" s="6">
        <f t="shared" si="23"/>
        <v>0.36</v>
      </c>
      <c r="T78" s="6">
        <f t="shared" si="23"/>
        <v>0.42</v>
      </c>
      <c r="U78" s="6">
        <f t="shared" si="23"/>
        <v>0.48</v>
      </c>
      <c r="V78" s="6">
        <f t="shared" si="23"/>
        <v>0.54</v>
      </c>
      <c r="W78" s="6">
        <f t="shared" si="23"/>
        <v>0.6</v>
      </c>
      <c r="X78" s="6">
        <f t="shared" si="23"/>
        <v>0.6</v>
      </c>
      <c r="Y78" s="6">
        <f t="shared" si="23"/>
        <v>0.6</v>
      </c>
      <c r="Z78" s="6">
        <f t="shared" si="23"/>
        <v>0.6</v>
      </c>
      <c r="AA78" s="6">
        <f t="shared" si="19"/>
        <v>0.6</v>
      </c>
      <c r="AB78" s="6">
        <f t="shared" si="19"/>
        <v>0.6</v>
      </c>
      <c r="AC78" s="6">
        <f t="shared" si="19"/>
        <v>0.6</v>
      </c>
      <c r="AD78" s="6">
        <f t="shared" si="19"/>
        <v>0.6</v>
      </c>
      <c r="AE78" s="6">
        <f t="shared" si="19"/>
        <v>0.6</v>
      </c>
      <c r="AF78" s="6">
        <f t="shared" si="19"/>
        <v>0.6</v>
      </c>
    </row>
    <row r="79" spans="1:32" s="41" customFormat="1" ht="11.25">
      <c r="A79" s="30" t="s">
        <v>99</v>
      </c>
      <c r="F79"/>
      <c r="G79">
        <f t="shared" si="20"/>
        <v>2013</v>
      </c>
      <c r="H79"/>
      <c r="I79" s="89"/>
      <c r="J79" s="6"/>
      <c r="K79" s="6"/>
      <c r="L79" s="6"/>
      <c r="M79" s="6"/>
      <c r="N79" s="6"/>
      <c r="O79" s="6">
        <f aca="true" t="shared" si="24" ref="O79:Z79">N78</f>
        <v>0.06</v>
      </c>
      <c r="P79" s="6">
        <f t="shared" si="24"/>
        <v>0.12</v>
      </c>
      <c r="Q79" s="6">
        <f t="shared" si="24"/>
        <v>0.18</v>
      </c>
      <c r="R79" s="6">
        <f t="shared" si="24"/>
        <v>0.24</v>
      </c>
      <c r="S79" s="6">
        <f t="shared" si="24"/>
        <v>0.3</v>
      </c>
      <c r="T79" s="6">
        <f t="shared" si="24"/>
        <v>0.36</v>
      </c>
      <c r="U79" s="6">
        <f t="shared" si="24"/>
        <v>0.42</v>
      </c>
      <c r="V79" s="6">
        <f t="shared" si="24"/>
        <v>0.48</v>
      </c>
      <c r="W79" s="6">
        <f t="shared" si="24"/>
        <v>0.54</v>
      </c>
      <c r="X79" s="6">
        <f t="shared" si="24"/>
        <v>0.6</v>
      </c>
      <c r="Y79" s="6">
        <f t="shared" si="24"/>
        <v>0.6</v>
      </c>
      <c r="Z79" s="6">
        <f t="shared" si="24"/>
        <v>0.6</v>
      </c>
      <c r="AA79" s="6">
        <f t="shared" si="19"/>
        <v>0.6</v>
      </c>
      <c r="AB79" s="6">
        <f t="shared" si="19"/>
        <v>0.6</v>
      </c>
      <c r="AC79" s="6">
        <f t="shared" si="19"/>
        <v>0.6</v>
      </c>
      <c r="AD79" s="6">
        <f t="shared" si="19"/>
        <v>0.6</v>
      </c>
      <c r="AE79" s="6">
        <f t="shared" si="19"/>
        <v>0.6</v>
      </c>
      <c r="AF79" s="6">
        <f t="shared" si="19"/>
        <v>0.6</v>
      </c>
    </row>
    <row r="80" spans="1:32" s="41" customFormat="1" ht="11.25">
      <c r="A80" s="30" t="s">
        <v>99</v>
      </c>
      <c r="F80"/>
      <c r="G80">
        <f t="shared" si="20"/>
        <v>2014</v>
      </c>
      <c r="H80"/>
      <c r="I80" s="89"/>
      <c r="J80" s="6"/>
      <c r="K80" s="6"/>
      <c r="L80" s="6"/>
      <c r="M80" s="6"/>
      <c r="N80" s="6"/>
      <c r="O80" s="6"/>
      <c r="P80" s="6">
        <f>O79</f>
        <v>0.06</v>
      </c>
      <c r="Q80" s="6">
        <f t="shared" si="19"/>
        <v>0.12</v>
      </c>
      <c r="R80" s="6">
        <f t="shared" si="19"/>
        <v>0.18</v>
      </c>
      <c r="S80" s="6">
        <f t="shared" si="19"/>
        <v>0.24</v>
      </c>
      <c r="T80" s="6">
        <f t="shared" si="19"/>
        <v>0.3</v>
      </c>
      <c r="U80" s="6">
        <f t="shared" si="19"/>
        <v>0.36</v>
      </c>
      <c r="V80" s="6">
        <f t="shared" si="19"/>
        <v>0.42</v>
      </c>
      <c r="W80" s="6">
        <f t="shared" si="19"/>
        <v>0.48</v>
      </c>
      <c r="X80" s="6">
        <f t="shared" si="19"/>
        <v>0.54</v>
      </c>
      <c r="Y80" s="6">
        <f t="shared" si="19"/>
        <v>0.6</v>
      </c>
      <c r="Z80" s="6">
        <f t="shared" si="19"/>
        <v>0.6</v>
      </c>
      <c r="AA80" s="6">
        <f t="shared" si="19"/>
        <v>0.6</v>
      </c>
      <c r="AB80" s="6">
        <f t="shared" si="19"/>
        <v>0.6</v>
      </c>
      <c r="AC80" s="6">
        <f t="shared" si="19"/>
        <v>0.6</v>
      </c>
      <c r="AD80" s="6">
        <f t="shared" si="19"/>
        <v>0.6</v>
      </c>
      <c r="AE80" s="6">
        <f t="shared" si="19"/>
        <v>0.6</v>
      </c>
      <c r="AF80" s="6">
        <f t="shared" si="19"/>
        <v>0.6</v>
      </c>
    </row>
    <row r="81" spans="1:32" s="41" customFormat="1" ht="11.25">
      <c r="A81" s="30" t="s">
        <v>99</v>
      </c>
      <c r="F81"/>
      <c r="G81">
        <f t="shared" si="20"/>
        <v>2015</v>
      </c>
      <c r="H81"/>
      <c r="I81" s="89"/>
      <c r="J81" s="6"/>
      <c r="K81" s="6"/>
      <c r="L81" s="6"/>
      <c r="M81" s="6"/>
      <c r="N81" s="6"/>
      <c r="O81" s="6"/>
      <c r="P81" s="6"/>
      <c r="Q81" s="6">
        <f>P80</f>
        <v>0.06</v>
      </c>
      <c r="R81" s="6">
        <f t="shared" si="19"/>
        <v>0.12</v>
      </c>
      <c r="S81" s="6">
        <f t="shared" si="19"/>
        <v>0.18</v>
      </c>
      <c r="T81" s="6">
        <f t="shared" si="19"/>
        <v>0.24</v>
      </c>
      <c r="U81" s="6">
        <f t="shared" si="19"/>
        <v>0.3</v>
      </c>
      <c r="V81" s="6">
        <f t="shared" si="19"/>
        <v>0.36</v>
      </c>
      <c r="W81" s="6">
        <f t="shared" si="19"/>
        <v>0.42</v>
      </c>
      <c r="X81" s="6">
        <f t="shared" si="19"/>
        <v>0.48</v>
      </c>
      <c r="Y81" s="6">
        <f t="shared" si="19"/>
        <v>0.54</v>
      </c>
      <c r="Z81" s="6">
        <f t="shared" si="19"/>
        <v>0.6</v>
      </c>
      <c r="AA81" s="6">
        <f t="shared" si="19"/>
        <v>0.6</v>
      </c>
      <c r="AB81" s="6">
        <f t="shared" si="19"/>
        <v>0.6</v>
      </c>
      <c r="AC81" s="6">
        <f t="shared" si="19"/>
        <v>0.6</v>
      </c>
      <c r="AD81" s="6">
        <f t="shared" si="19"/>
        <v>0.6</v>
      </c>
      <c r="AE81" s="6">
        <f t="shared" si="19"/>
        <v>0.6</v>
      </c>
      <c r="AF81" s="6">
        <f t="shared" si="19"/>
        <v>0.6</v>
      </c>
    </row>
    <row r="82" spans="1:32" s="41" customFormat="1" ht="11.25">
      <c r="A82" s="30" t="s">
        <v>99</v>
      </c>
      <c r="F82"/>
      <c r="G82">
        <f t="shared" si="20"/>
        <v>2016</v>
      </c>
      <c r="H82"/>
      <c r="I82" s="89"/>
      <c r="J82" s="6"/>
      <c r="K82" s="6"/>
      <c r="L82" s="6"/>
      <c r="M82" s="6"/>
      <c r="N82" s="32"/>
      <c r="O82" s="6"/>
      <c r="P82" s="6"/>
      <c r="Q82" s="6"/>
      <c r="R82" s="6">
        <f>Q81</f>
        <v>0.06</v>
      </c>
      <c r="S82" s="6">
        <f t="shared" si="19"/>
        <v>0.12</v>
      </c>
      <c r="T82" s="6">
        <f t="shared" si="19"/>
        <v>0.18</v>
      </c>
      <c r="U82" s="6">
        <f t="shared" si="19"/>
        <v>0.24</v>
      </c>
      <c r="V82" s="6">
        <f t="shared" si="19"/>
        <v>0.3</v>
      </c>
      <c r="W82" s="6">
        <f t="shared" si="19"/>
        <v>0.36</v>
      </c>
      <c r="X82" s="6">
        <f t="shared" si="19"/>
        <v>0.42</v>
      </c>
      <c r="Y82" s="6">
        <f t="shared" si="19"/>
        <v>0.48</v>
      </c>
      <c r="Z82" s="6">
        <f t="shared" si="19"/>
        <v>0.54</v>
      </c>
      <c r="AA82" s="6">
        <f t="shared" si="19"/>
        <v>0.6</v>
      </c>
      <c r="AB82" s="6">
        <f t="shared" si="19"/>
        <v>0.6</v>
      </c>
      <c r="AC82" s="6">
        <f t="shared" si="19"/>
        <v>0.6</v>
      </c>
      <c r="AD82" s="6">
        <f t="shared" si="19"/>
        <v>0.6</v>
      </c>
      <c r="AE82" s="6">
        <f t="shared" si="19"/>
        <v>0.6</v>
      </c>
      <c r="AF82" s="6">
        <f t="shared" si="19"/>
        <v>0.6</v>
      </c>
    </row>
    <row r="83" spans="1:32" s="41" customFormat="1" ht="11.25">
      <c r="A83" s="30" t="s">
        <v>99</v>
      </c>
      <c r="F83"/>
      <c r="G83">
        <f t="shared" si="20"/>
        <v>2017</v>
      </c>
      <c r="H83"/>
      <c r="I83" s="89"/>
      <c r="J83" s="6"/>
      <c r="K83" s="6"/>
      <c r="L83" s="6"/>
      <c r="M83" s="6"/>
      <c r="N83" s="32"/>
      <c r="O83" s="6"/>
      <c r="P83" s="6"/>
      <c r="Q83" s="6"/>
      <c r="R83" s="6"/>
      <c r="S83" s="6">
        <f>R82</f>
        <v>0.06</v>
      </c>
      <c r="T83" s="6">
        <f t="shared" si="19"/>
        <v>0.12</v>
      </c>
      <c r="U83" s="6">
        <f t="shared" si="19"/>
        <v>0.18</v>
      </c>
      <c r="V83" s="6">
        <f t="shared" si="19"/>
        <v>0.24</v>
      </c>
      <c r="W83" s="6">
        <f t="shared" si="19"/>
        <v>0.3</v>
      </c>
      <c r="X83" s="6">
        <f t="shared" si="19"/>
        <v>0.36</v>
      </c>
      <c r="Y83" s="6">
        <f t="shared" si="19"/>
        <v>0.42</v>
      </c>
      <c r="Z83" s="6">
        <f t="shared" si="19"/>
        <v>0.48</v>
      </c>
      <c r="AA83" s="6">
        <f t="shared" si="19"/>
        <v>0.54</v>
      </c>
      <c r="AB83" s="6">
        <f t="shared" si="19"/>
        <v>0.6</v>
      </c>
      <c r="AC83" s="6">
        <f t="shared" si="19"/>
        <v>0.6</v>
      </c>
      <c r="AD83" s="6">
        <f t="shared" si="19"/>
        <v>0.6</v>
      </c>
      <c r="AE83" s="6">
        <f t="shared" si="19"/>
        <v>0.6</v>
      </c>
      <c r="AF83" s="6">
        <f t="shared" si="19"/>
        <v>0.6</v>
      </c>
    </row>
    <row r="84" spans="1:32" s="41" customFormat="1" ht="11.25">
      <c r="A84" s="30" t="s">
        <v>99</v>
      </c>
      <c r="F84"/>
      <c r="G84">
        <f t="shared" si="20"/>
        <v>2018</v>
      </c>
      <c r="H84"/>
      <c r="I84" s="89"/>
      <c r="J84" s="6"/>
      <c r="K84" s="6"/>
      <c r="L84" s="6"/>
      <c r="M84" s="6"/>
      <c r="N84" s="32"/>
      <c r="O84" s="6"/>
      <c r="P84" s="6"/>
      <c r="Q84" s="6"/>
      <c r="R84" s="6"/>
      <c r="S84" s="6"/>
      <c r="T84" s="6">
        <f>S83</f>
        <v>0.06</v>
      </c>
      <c r="U84" s="6">
        <f t="shared" si="19"/>
        <v>0.12</v>
      </c>
      <c r="V84" s="6">
        <f t="shared" si="19"/>
        <v>0.18</v>
      </c>
      <c r="W84" s="6">
        <f t="shared" si="19"/>
        <v>0.24</v>
      </c>
      <c r="X84" s="6">
        <f t="shared" si="19"/>
        <v>0.3</v>
      </c>
      <c r="Y84" s="6">
        <f t="shared" si="19"/>
        <v>0.36</v>
      </c>
      <c r="Z84" s="6">
        <f t="shared" si="19"/>
        <v>0.42</v>
      </c>
      <c r="AA84" s="6">
        <f t="shared" si="19"/>
        <v>0.48</v>
      </c>
      <c r="AB84" s="6">
        <f t="shared" si="19"/>
        <v>0.54</v>
      </c>
      <c r="AC84" s="6">
        <f t="shared" si="19"/>
        <v>0.6</v>
      </c>
      <c r="AD84" s="6">
        <f t="shared" si="19"/>
        <v>0.6</v>
      </c>
      <c r="AE84" s="6">
        <f t="shared" si="19"/>
        <v>0.6</v>
      </c>
      <c r="AF84" s="6">
        <f t="shared" si="19"/>
        <v>0.6</v>
      </c>
    </row>
    <row r="85" spans="1:32" s="41" customFormat="1" ht="11.25">
      <c r="A85" s="30" t="s">
        <v>99</v>
      </c>
      <c r="F85"/>
      <c r="G85">
        <f t="shared" si="20"/>
        <v>2019</v>
      </c>
      <c r="H85"/>
      <c r="I85" s="89"/>
      <c r="J85" s="6"/>
      <c r="K85" s="6"/>
      <c r="L85" s="6"/>
      <c r="M85" s="6"/>
      <c r="N85" s="32"/>
      <c r="O85" s="6"/>
      <c r="P85" s="6"/>
      <c r="Q85" s="6"/>
      <c r="R85" s="6"/>
      <c r="S85" s="6"/>
      <c r="T85" s="6"/>
      <c r="U85" s="6">
        <f>T84</f>
        <v>0.06</v>
      </c>
      <c r="V85" s="6">
        <f t="shared" si="19"/>
        <v>0.12</v>
      </c>
      <c r="W85" s="6">
        <f t="shared" si="19"/>
        <v>0.18</v>
      </c>
      <c r="X85" s="6">
        <f t="shared" si="19"/>
        <v>0.24</v>
      </c>
      <c r="Y85" s="6">
        <f t="shared" si="19"/>
        <v>0.3</v>
      </c>
      <c r="Z85" s="6">
        <f t="shared" si="19"/>
        <v>0.36</v>
      </c>
      <c r="AA85" s="6">
        <f t="shared" si="19"/>
        <v>0.42</v>
      </c>
      <c r="AB85" s="6">
        <f t="shared" si="19"/>
        <v>0.48</v>
      </c>
      <c r="AC85" s="6">
        <f t="shared" si="19"/>
        <v>0.54</v>
      </c>
      <c r="AD85" s="6">
        <f t="shared" si="19"/>
        <v>0.6</v>
      </c>
      <c r="AE85" s="6">
        <f t="shared" si="19"/>
        <v>0.6</v>
      </c>
      <c r="AF85" s="6">
        <f t="shared" si="19"/>
        <v>0.6</v>
      </c>
    </row>
    <row r="86" spans="1:32" s="41" customFormat="1" ht="11.25">
      <c r="A86" s="30" t="s">
        <v>99</v>
      </c>
      <c r="F86"/>
      <c r="G86">
        <f t="shared" si="20"/>
        <v>2020</v>
      </c>
      <c r="H86"/>
      <c r="I86" s="89"/>
      <c r="J86" s="6"/>
      <c r="K86" s="6"/>
      <c r="L86" s="6"/>
      <c r="M86" s="6"/>
      <c r="N86" s="32"/>
      <c r="O86" s="6"/>
      <c r="P86" s="6"/>
      <c r="Q86" s="6"/>
      <c r="R86" s="6"/>
      <c r="S86" s="6"/>
      <c r="T86" s="6"/>
      <c r="U86" s="6"/>
      <c r="V86" s="6">
        <f>U85</f>
        <v>0.06</v>
      </c>
      <c r="W86" s="6">
        <f t="shared" si="19"/>
        <v>0.12</v>
      </c>
      <c r="X86" s="6">
        <f t="shared" si="19"/>
        <v>0.18</v>
      </c>
      <c r="Y86" s="6">
        <f t="shared" si="19"/>
        <v>0.24</v>
      </c>
      <c r="Z86" s="6">
        <f t="shared" si="19"/>
        <v>0.3</v>
      </c>
      <c r="AA86" s="6">
        <f t="shared" si="19"/>
        <v>0.36</v>
      </c>
      <c r="AB86" s="6">
        <f t="shared" si="19"/>
        <v>0.42</v>
      </c>
      <c r="AC86" s="6">
        <f t="shared" si="19"/>
        <v>0.48</v>
      </c>
      <c r="AD86" s="6">
        <f t="shared" si="19"/>
        <v>0.54</v>
      </c>
      <c r="AE86" s="6">
        <f t="shared" si="19"/>
        <v>0.6</v>
      </c>
      <c r="AF86" s="6">
        <f t="shared" si="19"/>
        <v>0.6</v>
      </c>
    </row>
    <row r="87" spans="1:32" s="41" customFormat="1" ht="11.25">
      <c r="A87" s="30" t="s">
        <v>99</v>
      </c>
      <c r="F87"/>
      <c r="G87">
        <f t="shared" si="20"/>
        <v>2021</v>
      </c>
      <c r="H87"/>
      <c r="I87" s="89"/>
      <c r="J87" s="6"/>
      <c r="K87" s="6"/>
      <c r="L87" s="6"/>
      <c r="M87" s="6"/>
      <c r="N87" s="32"/>
      <c r="O87" s="6"/>
      <c r="P87" s="6"/>
      <c r="Q87" s="6"/>
      <c r="R87" s="6"/>
      <c r="S87" s="6"/>
      <c r="T87" s="6"/>
      <c r="U87" s="6"/>
      <c r="V87" s="6"/>
      <c r="W87" s="6">
        <f t="shared" si="19"/>
        <v>0.06</v>
      </c>
      <c r="X87" s="6">
        <f t="shared" si="19"/>
        <v>0.12</v>
      </c>
      <c r="Y87" s="6">
        <f t="shared" si="19"/>
        <v>0.18</v>
      </c>
      <c r="Z87" s="6">
        <f t="shared" si="19"/>
        <v>0.24</v>
      </c>
      <c r="AA87" s="6">
        <f t="shared" si="19"/>
        <v>0.3</v>
      </c>
      <c r="AB87" s="6">
        <f t="shared" si="19"/>
        <v>0.36</v>
      </c>
      <c r="AC87" s="6">
        <f t="shared" si="19"/>
        <v>0.42</v>
      </c>
      <c r="AD87" s="6">
        <f t="shared" si="19"/>
        <v>0.48</v>
      </c>
      <c r="AE87" s="6">
        <f t="shared" si="19"/>
        <v>0.54</v>
      </c>
      <c r="AF87" s="6">
        <f t="shared" si="19"/>
        <v>0.6</v>
      </c>
    </row>
    <row r="88" spans="1:32" s="41" customFormat="1" ht="11.25">
      <c r="A88" s="30" t="s">
        <v>99</v>
      </c>
      <c r="F88"/>
      <c r="G88">
        <f t="shared" si="20"/>
        <v>2022</v>
      </c>
      <c r="H88"/>
      <c r="I88" s="89"/>
      <c r="J88" s="6"/>
      <c r="K88" s="6"/>
      <c r="L88" s="6"/>
      <c r="M88" s="6"/>
      <c r="N88" s="32"/>
      <c r="O88" s="6"/>
      <c r="P88" s="6"/>
      <c r="Q88" s="6"/>
      <c r="R88" s="6"/>
      <c r="S88" s="6"/>
      <c r="T88" s="6"/>
      <c r="U88" s="6"/>
      <c r="V88" s="6"/>
      <c r="W88" s="6"/>
      <c r="X88" s="6">
        <f t="shared" si="19"/>
        <v>0.06</v>
      </c>
      <c r="Y88" s="6">
        <f t="shared" si="19"/>
        <v>0.12</v>
      </c>
      <c r="Z88" s="6">
        <f t="shared" si="19"/>
        <v>0.18</v>
      </c>
      <c r="AA88" s="6">
        <f t="shared" si="19"/>
        <v>0.24</v>
      </c>
      <c r="AB88" s="6">
        <f t="shared" si="19"/>
        <v>0.3</v>
      </c>
      <c r="AC88" s="6">
        <f t="shared" si="19"/>
        <v>0.36</v>
      </c>
      <c r="AD88" s="6">
        <f t="shared" si="19"/>
        <v>0.42</v>
      </c>
      <c r="AE88" s="6">
        <f t="shared" si="19"/>
        <v>0.48</v>
      </c>
      <c r="AF88" s="6">
        <f t="shared" si="19"/>
        <v>0.54</v>
      </c>
    </row>
    <row r="89" spans="1:32" s="41" customFormat="1" ht="11.25">
      <c r="A89" s="30" t="s">
        <v>99</v>
      </c>
      <c r="F89"/>
      <c r="G89">
        <f t="shared" si="20"/>
        <v>2023</v>
      </c>
      <c r="H89"/>
      <c r="I89" s="89"/>
      <c r="J89" s="6"/>
      <c r="K89" s="6"/>
      <c r="L89" s="6"/>
      <c r="M89" s="6"/>
      <c r="N89" s="32"/>
      <c r="O89" s="6"/>
      <c r="P89" s="6"/>
      <c r="Q89" s="6"/>
      <c r="R89" s="6"/>
      <c r="S89" s="6"/>
      <c r="T89" s="6"/>
      <c r="U89" s="6"/>
      <c r="V89" s="6"/>
      <c r="W89" s="6"/>
      <c r="X89" s="6"/>
      <c r="Y89" s="6">
        <f>X88</f>
        <v>0.06</v>
      </c>
      <c r="Z89" s="6">
        <f t="shared" si="19"/>
        <v>0.12</v>
      </c>
      <c r="AA89" s="6">
        <f t="shared" si="19"/>
        <v>0.18</v>
      </c>
      <c r="AB89" s="6">
        <f t="shared" si="19"/>
        <v>0.24</v>
      </c>
      <c r="AC89" s="6">
        <f t="shared" si="19"/>
        <v>0.3</v>
      </c>
      <c r="AD89" s="6">
        <f t="shared" si="19"/>
        <v>0.36</v>
      </c>
      <c r="AE89" s="6">
        <f t="shared" si="19"/>
        <v>0.42</v>
      </c>
      <c r="AF89" s="6">
        <f t="shared" si="19"/>
        <v>0.48</v>
      </c>
    </row>
    <row r="90" spans="1:32" s="41" customFormat="1" ht="11.25">
      <c r="A90" s="30" t="s">
        <v>99</v>
      </c>
      <c r="F90"/>
      <c r="G90">
        <f t="shared" si="20"/>
        <v>2024</v>
      </c>
      <c r="H90" s="6"/>
      <c r="I90" s="89"/>
      <c r="J90" s="6"/>
      <c r="K90" s="6"/>
      <c r="L90" s="6"/>
      <c r="M90" s="6"/>
      <c r="N90" s="32"/>
      <c r="O90" s="6"/>
      <c r="P90" s="6"/>
      <c r="Q90" s="6"/>
      <c r="R90" s="6"/>
      <c r="S90" s="6"/>
      <c r="T90" s="6"/>
      <c r="U90" s="6"/>
      <c r="V90" s="6"/>
      <c r="W90" s="6"/>
      <c r="X90" s="6"/>
      <c r="Y90" s="6"/>
      <c r="Z90" s="6">
        <f>Y89</f>
        <v>0.06</v>
      </c>
      <c r="AA90" s="6">
        <f t="shared" si="19"/>
        <v>0.12</v>
      </c>
      <c r="AB90" s="6">
        <f t="shared" si="19"/>
        <v>0.18</v>
      </c>
      <c r="AC90" s="6">
        <f t="shared" si="19"/>
        <v>0.24</v>
      </c>
      <c r="AD90" s="6">
        <f t="shared" si="19"/>
        <v>0.3</v>
      </c>
      <c r="AE90" s="6">
        <f t="shared" si="19"/>
        <v>0.36</v>
      </c>
      <c r="AF90" s="6">
        <f t="shared" si="19"/>
        <v>0.42</v>
      </c>
    </row>
    <row r="91" spans="1:32" s="41" customFormat="1" ht="11.25">
      <c r="A91" s="30" t="s">
        <v>99</v>
      </c>
      <c r="F91"/>
      <c r="G91">
        <f t="shared" si="20"/>
        <v>2025</v>
      </c>
      <c r="H91" s="6"/>
      <c r="I91" s="33"/>
      <c r="J91" s="6"/>
      <c r="K91" s="6"/>
      <c r="L91" s="6"/>
      <c r="M91" s="6"/>
      <c r="N91" s="32"/>
      <c r="O91" s="6"/>
      <c r="P91" s="6"/>
      <c r="Q91" s="6"/>
      <c r="R91" s="6"/>
      <c r="S91" s="6"/>
      <c r="T91" s="6"/>
      <c r="U91" s="6"/>
      <c r="V91" s="6"/>
      <c r="W91" s="6"/>
      <c r="X91" s="6"/>
      <c r="Y91" s="6"/>
      <c r="Z91" s="6"/>
      <c r="AA91" s="6">
        <f aca="true" t="shared" si="25" ref="AA91:AF91">Z90</f>
        <v>0.06</v>
      </c>
      <c r="AB91" s="6">
        <f t="shared" si="25"/>
        <v>0.12</v>
      </c>
      <c r="AC91" s="6">
        <f t="shared" si="25"/>
        <v>0.18</v>
      </c>
      <c r="AD91" s="6">
        <f t="shared" si="25"/>
        <v>0.24</v>
      </c>
      <c r="AE91" s="6">
        <f t="shared" si="25"/>
        <v>0.3</v>
      </c>
      <c r="AF91" s="6">
        <f t="shared" si="25"/>
        <v>0.36</v>
      </c>
    </row>
    <row r="92" spans="1:32" s="41" customFormat="1" ht="11.25">
      <c r="A92" s="30" t="s">
        <v>99</v>
      </c>
      <c r="F92"/>
      <c r="G92">
        <f t="shared" si="20"/>
        <v>2026</v>
      </c>
      <c r="H92" s="6"/>
      <c r="I92" s="33"/>
      <c r="J92" s="6"/>
      <c r="K92" s="6"/>
      <c r="L92" s="6"/>
      <c r="M92" s="6"/>
      <c r="N92" s="32"/>
      <c r="O92" s="6"/>
      <c r="P92" s="6"/>
      <c r="Q92" s="6"/>
      <c r="R92" s="6"/>
      <c r="S92" s="6"/>
      <c r="T92" s="6"/>
      <c r="U92" s="6"/>
      <c r="V92" s="6"/>
      <c r="W92" s="6"/>
      <c r="X92" s="6"/>
      <c r="Y92" s="6"/>
      <c r="Z92" s="6"/>
      <c r="AA92" s="6"/>
      <c r="AB92" s="6">
        <f>AA91</f>
        <v>0.06</v>
      </c>
      <c r="AC92" s="6">
        <f>AB91</f>
        <v>0.12</v>
      </c>
      <c r="AD92" s="6">
        <f>AC91</f>
        <v>0.18</v>
      </c>
      <c r="AE92" s="6">
        <f>AD91</f>
        <v>0.24</v>
      </c>
      <c r="AF92" s="6">
        <f>AE91</f>
        <v>0.3</v>
      </c>
    </row>
    <row r="93" spans="1:32" s="41" customFormat="1" ht="11.25">
      <c r="A93" s="30" t="s">
        <v>99</v>
      </c>
      <c r="F93"/>
      <c r="G93">
        <f t="shared" si="20"/>
        <v>2027</v>
      </c>
      <c r="H93" s="6"/>
      <c r="I93" s="33"/>
      <c r="J93" s="6"/>
      <c r="K93" s="6"/>
      <c r="L93" s="6"/>
      <c r="M93" s="6"/>
      <c r="N93" s="32"/>
      <c r="O93" s="6"/>
      <c r="P93" s="6"/>
      <c r="Q93" s="6"/>
      <c r="R93" s="6"/>
      <c r="S93" s="6"/>
      <c r="T93" s="6"/>
      <c r="U93" s="6"/>
      <c r="V93" s="6"/>
      <c r="W93" s="6"/>
      <c r="X93" s="6"/>
      <c r="Y93" s="6"/>
      <c r="Z93" s="6"/>
      <c r="AA93" s="6"/>
      <c r="AB93" s="6"/>
      <c r="AC93" s="6">
        <f>AB92</f>
        <v>0.06</v>
      </c>
      <c r="AD93" s="6">
        <f>AC92</f>
        <v>0.12</v>
      </c>
      <c r="AE93" s="6">
        <f>AD92</f>
        <v>0.18</v>
      </c>
      <c r="AF93" s="6">
        <f>AE92</f>
        <v>0.24</v>
      </c>
    </row>
    <row r="94" spans="1:32" s="41" customFormat="1" ht="11.25">
      <c r="A94" s="30" t="s">
        <v>99</v>
      </c>
      <c r="F94"/>
      <c r="G94">
        <f t="shared" si="20"/>
        <v>2028</v>
      </c>
      <c r="H94" s="6"/>
      <c r="I94" s="33"/>
      <c r="J94" s="6"/>
      <c r="K94" s="6"/>
      <c r="L94" s="6"/>
      <c r="M94" s="6"/>
      <c r="N94" s="32"/>
      <c r="O94" s="6"/>
      <c r="P94" s="6"/>
      <c r="Q94" s="6"/>
      <c r="R94" s="6"/>
      <c r="S94" s="6"/>
      <c r="T94" s="6"/>
      <c r="U94" s="6"/>
      <c r="V94" s="6"/>
      <c r="W94" s="6"/>
      <c r="X94" s="6"/>
      <c r="Y94" s="6"/>
      <c r="Z94" s="6"/>
      <c r="AA94" s="6"/>
      <c r="AB94" s="6"/>
      <c r="AC94" s="6"/>
      <c r="AD94" s="6">
        <f>AC93</f>
        <v>0.06</v>
      </c>
      <c r="AE94" s="6">
        <f>AD93</f>
        <v>0.12</v>
      </c>
      <c r="AF94" s="6">
        <f>AE93</f>
        <v>0.18</v>
      </c>
    </row>
    <row r="95" spans="1:32" s="41" customFormat="1" ht="11.25">
      <c r="A95" s="30" t="s">
        <v>99</v>
      </c>
      <c r="F95"/>
      <c r="G95">
        <f t="shared" si="20"/>
        <v>2029</v>
      </c>
      <c r="H95" s="6"/>
      <c r="I95" s="33"/>
      <c r="J95" s="6"/>
      <c r="K95" s="6"/>
      <c r="L95" s="6"/>
      <c r="M95" s="6"/>
      <c r="N95" s="32"/>
      <c r="O95" s="6"/>
      <c r="P95" s="6"/>
      <c r="Q95" s="6"/>
      <c r="R95" s="6"/>
      <c r="S95" s="6"/>
      <c r="T95" s="6"/>
      <c r="U95" s="6"/>
      <c r="V95" s="6"/>
      <c r="W95" s="6"/>
      <c r="X95" s="6"/>
      <c r="Y95" s="6"/>
      <c r="Z95" s="6"/>
      <c r="AA95" s="6"/>
      <c r="AB95" s="6"/>
      <c r="AC95" s="6"/>
      <c r="AD95" s="6"/>
      <c r="AE95" s="6">
        <f>AD94</f>
        <v>0.06</v>
      </c>
      <c r="AF95" s="6">
        <f>AE94</f>
        <v>0.12</v>
      </c>
    </row>
    <row r="96" spans="1:32" s="41" customFormat="1" ht="11.25">
      <c r="A96" s="30" t="s">
        <v>99</v>
      </c>
      <c r="F96"/>
      <c r="G96">
        <f t="shared" si="20"/>
        <v>2030</v>
      </c>
      <c r="H96" s="6"/>
      <c r="I96" s="33"/>
      <c r="J96" s="6"/>
      <c r="K96" s="6"/>
      <c r="L96" s="6"/>
      <c r="M96" s="6"/>
      <c r="N96" s="32"/>
      <c r="O96" s="6"/>
      <c r="P96" s="6"/>
      <c r="Q96" s="6"/>
      <c r="R96" s="6"/>
      <c r="S96" s="6"/>
      <c r="T96" s="6"/>
      <c r="U96" s="6"/>
      <c r="V96" s="6"/>
      <c r="W96" s="6"/>
      <c r="X96" s="6"/>
      <c r="Y96" s="6"/>
      <c r="Z96" s="6"/>
      <c r="AA96" s="6"/>
      <c r="AB96" s="6"/>
      <c r="AC96" s="6"/>
      <c r="AD96" s="6"/>
      <c r="AE96" s="6"/>
      <c r="AF96" s="6">
        <f>AE95</f>
        <v>0.06</v>
      </c>
    </row>
    <row r="97" spans="1:9" s="41" customFormat="1" ht="11.25">
      <c r="A97" s="43"/>
      <c r="H97"/>
      <c r="I97" s="33"/>
    </row>
    <row r="98" spans="1:32" s="42" customFormat="1" ht="11.25">
      <c r="A98" s="44" t="s">
        <v>250</v>
      </c>
      <c r="F98"/>
      <c r="G98">
        <f>G74</f>
        <v>2008</v>
      </c>
      <c r="H98"/>
      <c r="I98" s="33"/>
      <c r="J98" s="16">
        <f aca="true" t="shared" si="26" ref="J98:AF98">(1+$J$63)^(-J74)</f>
        <v>0.994877446310258</v>
      </c>
      <c r="K98" s="16">
        <f t="shared" si="26"/>
        <v>0.9897811331768204</v>
      </c>
      <c r="L98" s="16">
        <f t="shared" si="26"/>
        <v>0.9847109261810286</v>
      </c>
      <c r="M98" s="16">
        <f t="shared" si="26"/>
        <v>0.9796666915927909</v>
      </c>
      <c r="N98" s="16">
        <f t="shared" si="26"/>
        <v>0.9746482963670547</v>
      </c>
      <c r="O98" s="16">
        <f t="shared" si="26"/>
        <v>0.9696556081402992</v>
      </c>
      <c r="P98" s="16">
        <f t="shared" si="26"/>
        <v>0.964688495227041</v>
      </c>
      <c r="Q98" s="16">
        <f t="shared" si="26"/>
        <v>0.9597468266163642</v>
      </c>
      <c r="R98" s="16">
        <f t="shared" si="26"/>
        <v>0.9548304719684625</v>
      </c>
      <c r="S98" s="16">
        <f t="shared" si="26"/>
        <v>0.9499393016112024</v>
      </c>
      <c r="T98" s="16">
        <f t="shared" si="26"/>
        <v>0.9499393016112024</v>
      </c>
      <c r="U98" s="16">
        <f t="shared" si="26"/>
        <v>0.9499393016112024</v>
      </c>
      <c r="V98" s="16">
        <f t="shared" si="26"/>
        <v>0.9499393016112024</v>
      </c>
      <c r="W98" s="16">
        <f t="shared" si="26"/>
        <v>0.9499393016112024</v>
      </c>
      <c r="X98" s="16">
        <f t="shared" si="26"/>
        <v>0.9499393016112024</v>
      </c>
      <c r="Y98" s="16">
        <f t="shared" si="26"/>
        <v>0.9499393016112024</v>
      </c>
      <c r="Z98" s="16">
        <f t="shared" si="26"/>
        <v>0.9499393016112024</v>
      </c>
      <c r="AA98" s="16">
        <f t="shared" si="26"/>
        <v>0.9499393016112024</v>
      </c>
      <c r="AB98" s="16">
        <f t="shared" si="26"/>
        <v>0.9499393016112024</v>
      </c>
      <c r="AC98" s="16">
        <f t="shared" si="26"/>
        <v>0.9499393016112024</v>
      </c>
      <c r="AD98" s="16">
        <f t="shared" si="26"/>
        <v>0.9499393016112024</v>
      </c>
      <c r="AE98" s="16">
        <f t="shared" si="26"/>
        <v>0.9499393016112024</v>
      </c>
      <c r="AF98" s="16">
        <f t="shared" si="26"/>
        <v>0.9499393016112024</v>
      </c>
    </row>
    <row r="99" spans="1:32" ht="11.25">
      <c r="A99" s="44" t="s">
        <v>250</v>
      </c>
      <c r="B99" s="44"/>
      <c r="G99">
        <f aca="true" t="shared" si="27" ref="G99:G120">G75</f>
        <v>2009</v>
      </c>
      <c r="J99" s="16">
        <f>(1+$J$63)^(-J75)</f>
        <v>1</v>
      </c>
      <c r="K99" s="16">
        <f>(1+$K$63)^(-K75)</f>
        <v>0.9952909312223502</v>
      </c>
      <c r="L99" s="16">
        <f>(1+$K$63)^(-L75)</f>
        <v>0.9906040377734533</v>
      </c>
      <c r="M99" s="16">
        <f>(1+$K$63)^(-M75)</f>
        <v>0.9859392152281606</v>
      </c>
      <c r="N99" s="16">
        <f>(1+$K$63)^(-N75)</f>
        <v>0.9812963596530694</v>
      </c>
      <c r="O99" s="16">
        <f>(1+$K$63)^(-O75)</f>
        <v>0.9766753676042059</v>
      </c>
      <c r="P99" s="16">
        <f aca="true" t="shared" si="28" ref="P99:AF99">(1+$K$63)^(-P75)</f>
        <v>0.9720761361247213</v>
      </c>
      <c r="Q99" s="16">
        <f t="shared" si="28"/>
        <v>0.9674985627425982</v>
      </c>
      <c r="R99" s="16">
        <f t="shared" si="28"/>
        <v>0.962942545468366</v>
      </c>
      <c r="S99" s="16">
        <f t="shared" si="28"/>
        <v>0.9584079827928306</v>
      </c>
      <c r="T99" s="16">
        <f t="shared" si="28"/>
        <v>0.9538947736848106</v>
      </c>
      <c r="U99" s="16">
        <f t="shared" si="28"/>
        <v>0.9538947736848106</v>
      </c>
      <c r="V99" s="16">
        <f t="shared" si="28"/>
        <v>0.9538947736848106</v>
      </c>
      <c r="W99" s="16">
        <f t="shared" si="28"/>
        <v>0.9538947736848106</v>
      </c>
      <c r="X99" s="16">
        <f t="shared" si="28"/>
        <v>0.9538947736848106</v>
      </c>
      <c r="Y99" s="16">
        <f t="shared" si="28"/>
        <v>0.9538947736848106</v>
      </c>
      <c r="Z99" s="16">
        <f t="shared" si="28"/>
        <v>0.9538947736848106</v>
      </c>
      <c r="AA99" s="16">
        <f t="shared" si="28"/>
        <v>0.9538947736848106</v>
      </c>
      <c r="AB99" s="16">
        <f t="shared" si="28"/>
        <v>0.9538947736848106</v>
      </c>
      <c r="AC99" s="16">
        <f t="shared" si="28"/>
        <v>0.9538947736848106</v>
      </c>
      <c r="AD99" s="16">
        <f t="shared" si="28"/>
        <v>0.9538947736848106</v>
      </c>
      <c r="AE99" s="16">
        <f t="shared" si="28"/>
        <v>0.9538947736848106</v>
      </c>
      <c r="AF99" s="16">
        <f t="shared" si="28"/>
        <v>0.9538947736848106</v>
      </c>
    </row>
    <row r="100" spans="1:33" ht="11.25">
      <c r="A100" s="44" t="s">
        <v>250</v>
      </c>
      <c r="B100" s="44"/>
      <c r="G100">
        <f t="shared" si="27"/>
        <v>2010</v>
      </c>
      <c r="H100" s="3"/>
      <c r="I100" s="77"/>
      <c r="J100" s="16">
        <f aca="true" t="shared" si="29" ref="J100:J120">(1+$J$63)^(-J76)</f>
        <v>1</v>
      </c>
      <c r="K100" s="16">
        <f aca="true" t="shared" si="30" ref="K100:K120">(1+$K$63)^(-K76)</f>
        <v>1</v>
      </c>
      <c r="L100" s="17">
        <f aca="true" t="shared" si="31" ref="L100:AF100">(1+$L$63)^(-L76)</f>
        <v>0.9956433573372329</v>
      </c>
      <c r="M100" s="17">
        <f t="shared" si="31"/>
        <v>0.9913056950097568</v>
      </c>
      <c r="N100" s="17">
        <f t="shared" si="31"/>
        <v>0.9869869303270337</v>
      </c>
      <c r="O100" s="17">
        <f t="shared" si="31"/>
        <v>0.9826869809587773</v>
      </c>
      <c r="P100" s="17">
        <f t="shared" si="31"/>
        <v>0.9784057649333866</v>
      </c>
      <c r="Q100" s="17">
        <f t="shared" si="31"/>
        <v>0.9741432006363804</v>
      </c>
      <c r="R100" s="17">
        <f t="shared" si="31"/>
        <v>0.9698992068088436</v>
      </c>
      <c r="S100" s="17">
        <f t="shared" si="31"/>
        <v>0.9656737025458763</v>
      </c>
      <c r="T100" s="17">
        <f t="shared" si="31"/>
        <v>0.9614666072950526</v>
      </c>
      <c r="U100" s="17">
        <f t="shared" si="31"/>
        <v>0.9572778408548852</v>
      </c>
      <c r="V100" s="17">
        <f t="shared" si="31"/>
        <v>0.9572778408548852</v>
      </c>
      <c r="W100" s="17">
        <f t="shared" si="31"/>
        <v>0.9572778408548852</v>
      </c>
      <c r="X100" s="17">
        <f t="shared" si="31"/>
        <v>0.9572778408548852</v>
      </c>
      <c r="Y100" s="17">
        <f t="shared" si="31"/>
        <v>0.9572778408548852</v>
      </c>
      <c r="Z100" s="17">
        <f t="shared" si="31"/>
        <v>0.9572778408548852</v>
      </c>
      <c r="AA100" s="17">
        <f t="shared" si="31"/>
        <v>0.9572778408548852</v>
      </c>
      <c r="AB100" s="17">
        <f t="shared" si="31"/>
        <v>0.9572778408548852</v>
      </c>
      <c r="AC100" s="17">
        <f t="shared" si="31"/>
        <v>0.9572778408548852</v>
      </c>
      <c r="AD100" s="17">
        <f t="shared" si="31"/>
        <v>0.9572778408548852</v>
      </c>
      <c r="AE100" s="17">
        <f t="shared" si="31"/>
        <v>0.9572778408548852</v>
      </c>
      <c r="AF100" s="17">
        <f t="shared" si="31"/>
        <v>0.9572778408548852</v>
      </c>
      <c r="AG100" s="17"/>
    </row>
    <row r="101" spans="1:32" ht="11.25">
      <c r="A101" s="44" t="s">
        <v>250</v>
      </c>
      <c r="B101" s="44"/>
      <c r="G101">
        <f t="shared" si="27"/>
        <v>2011</v>
      </c>
      <c r="H101" s="3"/>
      <c r="I101" s="77"/>
      <c r="J101" s="16">
        <f t="shared" si="29"/>
        <v>1</v>
      </c>
      <c r="K101" s="16">
        <f t="shared" si="30"/>
        <v>1</v>
      </c>
      <c r="L101" s="17">
        <f aca="true" t="shared" si="32" ref="L101:L120">(1+$L$63)^(-L77)</f>
        <v>1</v>
      </c>
      <c r="M101" s="17">
        <f>(1+$M$63)^(-M77)</f>
        <v>0.9959473223577351</v>
      </c>
      <c r="N101" s="17">
        <f>(1+$M$63)^(-N77)</f>
        <v>0.9919110689115425</v>
      </c>
      <c r="O101" s="17">
        <f aca="true" t="shared" si="33" ref="O101:AF101">(1+$M$63)^(-O77)</f>
        <v>0.9878911730994496</v>
      </c>
      <c r="P101" s="17">
        <f t="shared" si="33"/>
        <v>0.9838875686292385</v>
      </c>
      <c r="Q101" s="17">
        <f t="shared" si="33"/>
        <v>0.9799001894773526</v>
      </c>
      <c r="R101" s="17">
        <f t="shared" si="33"/>
        <v>0.9759289698878064</v>
      </c>
      <c r="S101" s="17">
        <f t="shared" si="33"/>
        <v>0.9719738443711036</v>
      </c>
      <c r="T101" s="17">
        <f t="shared" si="33"/>
        <v>0.9680347477031546</v>
      </c>
      <c r="U101" s="17">
        <f t="shared" si="33"/>
        <v>0.9641116149242026</v>
      </c>
      <c r="V101" s="17">
        <f t="shared" si="33"/>
        <v>0.9602043813377513</v>
      </c>
      <c r="W101" s="17">
        <f t="shared" si="33"/>
        <v>0.9602043813377513</v>
      </c>
      <c r="X101" s="17">
        <f t="shared" si="33"/>
        <v>0.9602043813377513</v>
      </c>
      <c r="Y101" s="17">
        <f t="shared" si="33"/>
        <v>0.9602043813377513</v>
      </c>
      <c r="Z101" s="17">
        <f t="shared" si="33"/>
        <v>0.9602043813377513</v>
      </c>
      <c r="AA101" s="17">
        <f t="shared" si="33"/>
        <v>0.9602043813377513</v>
      </c>
      <c r="AB101" s="17">
        <f t="shared" si="33"/>
        <v>0.9602043813377513</v>
      </c>
      <c r="AC101" s="17">
        <f t="shared" si="33"/>
        <v>0.9602043813377513</v>
      </c>
      <c r="AD101" s="17">
        <f t="shared" si="33"/>
        <v>0.9602043813377513</v>
      </c>
      <c r="AE101" s="17">
        <f t="shared" si="33"/>
        <v>0.9602043813377513</v>
      </c>
      <c r="AF101" s="17">
        <f t="shared" si="33"/>
        <v>0.9602043813377513</v>
      </c>
    </row>
    <row r="102" spans="1:32" ht="11.25">
      <c r="A102" s="44" t="s">
        <v>250</v>
      </c>
      <c r="B102" s="44"/>
      <c r="G102">
        <f t="shared" si="27"/>
        <v>2012</v>
      </c>
      <c r="H102" s="3"/>
      <c r="I102" s="77"/>
      <c r="J102" s="16">
        <f t="shared" si="29"/>
        <v>1</v>
      </c>
      <c r="K102" s="16">
        <f t="shared" si="30"/>
        <v>1</v>
      </c>
      <c r="L102" s="17">
        <f t="shared" si="32"/>
        <v>1</v>
      </c>
      <c r="M102" s="17">
        <f aca="true" t="shared" si="34" ref="M102:M120">(1+$M$63)^(-M78)</f>
        <v>1</v>
      </c>
      <c r="N102" s="17">
        <f>(1+$N$63)^(-N78)</f>
        <v>0.9962121803090899</v>
      </c>
      <c r="O102" s="17">
        <f aca="true" t="shared" si="35" ref="O102:AF102">(1+$N$63)^(-O78)</f>
        <v>0.9924387081961907</v>
      </c>
      <c r="P102" s="17">
        <f t="shared" si="35"/>
        <v>0.9886795293152639</v>
      </c>
      <c r="Q102" s="17">
        <f t="shared" si="35"/>
        <v>0.9849345895261239</v>
      </c>
      <c r="R102" s="17">
        <f t="shared" si="35"/>
        <v>0.9812038348936586</v>
      </c>
      <c r="S102" s="17">
        <f t="shared" si="35"/>
        <v>0.9774872116870519</v>
      </c>
      <c r="T102" s="17">
        <f t="shared" si="35"/>
        <v>0.973784666379011</v>
      </c>
      <c r="U102" s="17">
        <f t="shared" si="35"/>
        <v>0.9700961456449942</v>
      </c>
      <c r="V102" s="17">
        <f t="shared" si="35"/>
        <v>0.9664215963624443</v>
      </c>
      <c r="W102" s="17">
        <f t="shared" si="35"/>
        <v>0.9627609656100218</v>
      </c>
      <c r="X102" s="17">
        <f t="shared" si="35"/>
        <v>0.9627609656100218</v>
      </c>
      <c r="Y102" s="17">
        <f t="shared" si="35"/>
        <v>0.9627609656100218</v>
      </c>
      <c r="Z102" s="17">
        <f t="shared" si="35"/>
        <v>0.9627609656100218</v>
      </c>
      <c r="AA102" s="17">
        <f t="shared" si="35"/>
        <v>0.9627609656100218</v>
      </c>
      <c r="AB102" s="17">
        <f t="shared" si="35"/>
        <v>0.9627609656100218</v>
      </c>
      <c r="AC102" s="17">
        <f t="shared" si="35"/>
        <v>0.9627609656100218</v>
      </c>
      <c r="AD102" s="17">
        <f t="shared" si="35"/>
        <v>0.9627609656100218</v>
      </c>
      <c r="AE102" s="17">
        <f t="shared" si="35"/>
        <v>0.9627609656100218</v>
      </c>
      <c r="AF102" s="17">
        <f t="shared" si="35"/>
        <v>0.9627609656100218</v>
      </c>
    </row>
    <row r="103" spans="1:32" ht="11.25">
      <c r="A103" s="44" t="s">
        <v>250</v>
      </c>
      <c r="B103" s="44"/>
      <c r="G103">
        <f t="shared" si="27"/>
        <v>2013</v>
      </c>
      <c r="H103" s="3"/>
      <c r="I103" s="77"/>
      <c r="J103" s="16">
        <f t="shared" si="29"/>
        <v>1</v>
      </c>
      <c r="K103" s="16">
        <f t="shared" si="30"/>
        <v>1</v>
      </c>
      <c r="L103" s="17">
        <f t="shared" si="32"/>
        <v>1</v>
      </c>
      <c r="M103" s="17">
        <f t="shared" si="34"/>
        <v>1</v>
      </c>
      <c r="N103" s="17">
        <f aca="true" t="shared" si="36" ref="N103:N120">(1+$N$63)^(-N79)</f>
        <v>1</v>
      </c>
      <c r="O103" s="17">
        <f>(1+$O$63)^(-O79)</f>
        <v>0.9964450226852968</v>
      </c>
      <c r="P103" s="17">
        <f aca="true" t="shared" si="37" ref="P103:AF103">(1+$O$63)^(-P79)</f>
        <v>0.9929026832343013</v>
      </c>
      <c r="Q103" s="17">
        <f t="shared" si="37"/>
        <v>0.9893729367196952</v>
      </c>
      <c r="R103" s="17">
        <f t="shared" si="37"/>
        <v>0.9858557383738753</v>
      </c>
      <c r="S103" s="17">
        <f t="shared" si="37"/>
        <v>0.9823510435883861</v>
      </c>
      <c r="T103" s="17">
        <f t="shared" si="37"/>
        <v>0.9788588079133542</v>
      </c>
      <c r="U103" s="17">
        <f t="shared" si="37"/>
        <v>0.9753789870569247</v>
      </c>
      <c r="V103" s="17">
        <f t="shared" si="37"/>
        <v>0.9719115368846989</v>
      </c>
      <c r="W103" s="17">
        <f t="shared" si="37"/>
        <v>0.9684564134191753</v>
      </c>
      <c r="X103" s="17">
        <f t="shared" si="37"/>
        <v>0.9650135728391912</v>
      </c>
      <c r="Y103" s="17">
        <f t="shared" si="37"/>
        <v>0.9650135728391912</v>
      </c>
      <c r="Z103" s="17">
        <f t="shared" si="37"/>
        <v>0.9650135728391912</v>
      </c>
      <c r="AA103" s="17">
        <f t="shared" si="37"/>
        <v>0.9650135728391912</v>
      </c>
      <c r="AB103" s="17">
        <f t="shared" si="37"/>
        <v>0.9650135728391912</v>
      </c>
      <c r="AC103" s="17">
        <f t="shared" si="37"/>
        <v>0.9650135728391912</v>
      </c>
      <c r="AD103" s="17">
        <f t="shared" si="37"/>
        <v>0.9650135728391912</v>
      </c>
      <c r="AE103" s="17">
        <f t="shared" si="37"/>
        <v>0.9650135728391912</v>
      </c>
      <c r="AF103" s="17">
        <f t="shared" si="37"/>
        <v>0.9650135728391912</v>
      </c>
    </row>
    <row r="104" spans="1:32" ht="11.25">
      <c r="A104" s="44" t="s">
        <v>250</v>
      </c>
      <c r="B104" s="44"/>
      <c r="G104">
        <f t="shared" si="27"/>
        <v>2014</v>
      </c>
      <c r="H104" s="3"/>
      <c r="I104" s="77"/>
      <c r="J104" s="16">
        <f t="shared" si="29"/>
        <v>1</v>
      </c>
      <c r="K104" s="16">
        <f t="shared" si="30"/>
        <v>1</v>
      </c>
      <c r="L104" s="17">
        <f t="shared" si="32"/>
        <v>1</v>
      </c>
      <c r="M104" s="17">
        <f t="shared" si="34"/>
        <v>1</v>
      </c>
      <c r="N104" s="17">
        <f t="shared" si="36"/>
        <v>1</v>
      </c>
      <c r="O104" s="17">
        <f aca="true" t="shared" si="38" ref="O104:O120">(1+$O$63)^(-O80)</f>
        <v>1</v>
      </c>
      <c r="P104" s="17">
        <f>(1+$P$63)^(-P80)</f>
        <v>0.996651323687747</v>
      </c>
      <c r="Q104" s="17">
        <f aca="true" t="shared" si="39" ref="Q104:AF104">(1+$P$63)^(-Q80)</f>
        <v>0.9933138610085382</v>
      </c>
      <c r="R104" s="17">
        <f t="shared" si="39"/>
        <v>0.9899875744115463</v>
      </c>
      <c r="S104" s="17">
        <f t="shared" si="39"/>
        <v>0.9866724264716896</v>
      </c>
      <c r="T104" s="17">
        <f t="shared" si="39"/>
        <v>0.9833683798892107</v>
      </c>
      <c r="U104" s="17">
        <f t="shared" si="39"/>
        <v>0.9800753974892572</v>
      </c>
      <c r="V104" s="17">
        <f t="shared" si="39"/>
        <v>0.9767934422214629</v>
      </c>
      <c r="W104" s="17">
        <f t="shared" si="39"/>
        <v>0.9735224771595319</v>
      </c>
      <c r="X104" s="17">
        <f t="shared" si="39"/>
        <v>0.9702624655008217</v>
      </c>
      <c r="Y104" s="17">
        <f t="shared" si="39"/>
        <v>0.9670133705659311</v>
      </c>
      <c r="Z104" s="17">
        <f t="shared" si="39"/>
        <v>0.9670133705659311</v>
      </c>
      <c r="AA104" s="17">
        <f t="shared" si="39"/>
        <v>0.9670133705659311</v>
      </c>
      <c r="AB104" s="17">
        <f t="shared" si="39"/>
        <v>0.9670133705659311</v>
      </c>
      <c r="AC104" s="17">
        <f t="shared" si="39"/>
        <v>0.9670133705659311</v>
      </c>
      <c r="AD104" s="17">
        <f t="shared" si="39"/>
        <v>0.9670133705659311</v>
      </c>
      <c r="AE104" s="17">
        <f t="shared" si="39"/>
        <v>0.9670133705659311</v>
      </c>
      <c r="AF104" s="17">
        <f t="shared" si="39"/>
        <v>0.9670133705659311</v>
      </c>
    </row>
    <row r="105" spans="1:32" ht="11.25">
      <c r="A105" s="44" t="s">
        <v>250</v>
      </c>
      <c r="B105" s="44"/>
      <c r="G105">
        <f t="shared" si="27"/>
        <v>2015</v>
      </c>
      <c r="H105" s="3"/>
      <c r="I105" s="77"/>
      <c r="J105" s="16">
        <f t="shared" si="29"/>
        <v>1</v>
      </c>
      <c r="K105" s="16">
        <f t="shared" si="30"/>
        <v>1</v>
      </c>
      <c r="L105" s="17">
        <f t="shared" si="32"/>
        <v>1</v>
      </c>
      <c r="M105" s="17">
        <f t="shared" si="34"/>
        <v>1</v>
      </c>
      <c r="N105" s="17">
        <f t="shared" si="36"/>
        <v>1</v>
      </c>
      <c r="O105" s="17">
        <f t="shared" si="38"/>
        <v>1</v>
      </c>
      <c r="P105" s="17">
        <f aca="true" t="shared" si="40" ref="P105:P120">(1+$P$63)^(-P81)</f>
        <v>1</v>
      </c>
      <c r="Q105" s="17">
        <f aca="true" t="shared" si="41" ref="Q105:AF105">(1+$Q$63)^(-Q81)</f>
        <v>0.9968353765136859</v>
      </c>
      <c r="R105" s="17">
        <f t="shared" si="41"/>
        <v>0.9936807678691822</v>
      </c>
      <c r="S105" s="17">
        <f t="shared" si="41"/>
        <v>0.9905361423732847</v>
      </c>
      <c r="T105" s="17">
        <f t="shared" si="41"/>
        <v>0.9874014684330874</v>
      </c>
      <c r="U105" s="17">
        <f t="shared" si="41"/>
        <v>0.9842767145556632</v>
      </c>
      <c r="V105" s="17">
        <f t="shared" si="41"/>
        <v>0.9811618493477483</v>
      </c>
      <c r="W105" s="17">
        <f t="shared" si="41"/>
        <v>0.978056841515427</v>
      </c>
      <c r="X105" s="17">
        <f t="shared" si="41"/>
        <v>0.9749616598638173</v>
      </c>
      <c r="Y105" s="17">
        <f t="shared" si="41"/>
        <v>0.9718762732967565</v>
      </c>
      <c r="Z105" s="17">
        <f t="shared" si="41"/>
        <v>0.9688006508164902</v>
      </c>
      <c r="AA105" s="17">
        <f t="shared" si="41"/>
        <v>0.9688006508164902</v>
      </c>
      <c r="AB105" s="17">
        <f t="shared" si="41"/>
        <v>0.9688006508164902</v>
      </c>
      <c r="AC105" s="17">
        <f t="shared" si="41"/>
        <v>0.9688006508164902</v>
      </c>
      <c r="AD105" s="17">
        <f t="shared" si="41"/>
        <v>0.9688006508164902</v>
      </c>
      <c r="AE105" s="17">
        <f t="shared" si="41"/>
        <v>0.9688006508164902</v>
      </c>
      <c r="AF105" s="17">
        <f t="shared" si="41"/>
        <v>0.9688006508164902</v>
      </c>
    </row>
    <row r="106" spans="1:32" ht="11.25">
      <c r="A106" s="44" t="s">
        <v>250</v>
      </c>
      <c r="B106" s="44"/>
      <c r="G106">
        <f t="shared" si="27"/>
        <v>2016</v>
      </c>
      <c r="J106" s="16">
        <f t="shared" si="29"/>
        <v>1</v>
      </c>
      <c r="K106" s="16">
        <f t="shared" si="30"/>
        <v>1</v>
      </c>
      <c r="L106" s="17">
        <f t="shared" si="32"/>
        <v>1</v>
      </c>
      <c r="M106" s="17">
        <f t="shared" si="34"/>
        <v>1</v>
      </c>
      <c r="N106" s="17">
        <f t="shared" si="36"/>
        <v>1</v>
      </c>
      <c r="O106" s="17">
        <f t="shared" si="38"/>
        <v>1</v>
      </c>
      <c r="P106" s="17">
        <f t="shared" si="40"/>
        <v>1</v>
      </c>
      <c r="Q106" s="17">
        <f aca="true" t="shared" si="42" ref="Q106:Q120">(1+$Q$63)^(-Q82)</f>
        <v>1</v>
      </c>
      <c r="R106" s="17">
        <f>(1+$R$63)^(-R82)</f>
        <v>0.9970005956110236</v>
      </c>
      <c r="S106" s="17">
        <f aca="true" t="shared" si="43" ref="S106:AF106">(1+$R$63)^(-S82)</f>
        <v>0.994010187648736</v>
      </c>
      <c r="T106" s="17">
        <f t="shared" si="43"/>
        <v>0.9910287491292151</v>
      </c>
      <c r="U106" s="17">
        <f t="shared" si="43"/>
        <v>0.9880562531494752</v>
      </c>
      <c r="V106" s="17">
        <f t="shared" si="43"/>
        <v>0.9850926728872232</v>
      </c>
      <c r="W106" s="17">
        <f t="shared" si="43"/>
        <v>0.9821379816006169</v>
      </c>
      <c r="X106" s="17">
        <f t="shared" si="43"/>
        <v>0.9791921526280236</v>
      </c>
      <c r="Y106" s="17">
        <f t="shared" si="43"/>
        <v>0.97625515938778</v>
      </c>
      <c r="Z106" s="17">
        <f t="shared" si="43"/>
        <v>0.9733269753779514</v>
      </c>
      <c r="AA106" s="17">
        <f t="shared" si="43"/>
        <v>0.9704075741760939</v>
      </c>
      <c r="AB106" s="17">
        <f t="shared" si="43"/>
        <v>0.9704075741760939</v>
      </c>
      <c r="AC106" s="17">
        <f t="shared" si="43"/>
        <v>0.9704075741760939</v>
      </c>
      <c r="AD106" s="17">
        <f t="shared" si="43"/>
        <v>0.9704075741760939</v>
      </c>
      <c r="AE106" s="17">
        <f t="shared" si="43"/>
        <v>0.9704075741760939</v>
      </c>
      <c r="AF106" s="17">
        <f t="shared" si="43"/>
        <v>0.9704075741760939</v>
      </c>
    </row>
    <row r="107" spans="1:32" ht="11.25">
      <c r="A107" s="44" t="s">
        <v>250</v>
      </c>
      <c r="B107" s="44"/>
      <c r="G107">
        <f t="shared" si="27"/>
        <v>2017</v>
      </c>
      <c r="J107" s="16">
        <f t="shared" si="29"/>
        <v>1</v>
      </c>
      <c r="K107" s="16">
        <f t="shared" si="30"/>
        <v>1</v>
      </c>
      <c r="L107" s="17">
        <f t="shared" si="32"/>
        <v>1</v>
      </c>
      <c r="M107" s="17">
        <f t="shared" si="34"/>
        <v>1</v>
      </c>
      <c r="N107" s="17">
        <f t="shared" si="36"/>
        <v>1</v>
      </c>
      <c r="O107" s="17">
        <f t="shared" si="38"/>
        <v>1</v>
      </c>
      <c r="P107" s="17">
        <f t="shared" si="40"/>
        <v>1</v>
      </c>
      <c r="Q107" s="17">
        <f t="shared" si="42"/>
        <v>1</v>
      </c>
      <c r="R107" s="17">
        <f>(1+$R$63)^(-R83)</f>
        <v>1</v>
      </c>
      <c r="S107" s="17">
        <f>(1+$S$63)^(-S83)</f>
        <v>0.9971497306083583</v>
      </c>
      <c r="T107" s="17">
        <f aca="true" t="shared" si="44" ref="T107:AF107">(1+$S$63)^(-T83)</f>
        <v>0.9943075852523217</v>
      </c>
      <c r="U107" s="17">
        <f t="shared" si="44"/>
        <v>0.9914735407761998</v>
      </c>
      <c r="V107" s="17">
        <f t="shared" si="44"/>
        <v>0.9886475740903026</v>
      </c>
      <c r="W107" s="17">
        <f t="shared" si="44"/>
        <v>0.9858296621707522</v>
      </c>
      <c r="X107" s="17">
        <f t="shared" si="44"/>
        <v>0.9830197820592944</v>
      </c>
      <c r="Y107" s="17">
        <f t="shared" si="44"/>
        <v>0.9802179108631125</v>
      </c>
      <c r="Z107" s="17">
        <f t="shared" si="44"/>
        <v>0.9774240257546405</v>
      </c>
      <c r="AA107" s="17">
        <f t="shared" si="44"/>
        <v>0.9746381039713767</v>
      </c>
      <c r="AB107" s="17">
        <f t="shared" si="44"/>
        <v>0.9718601228156994</v>
      </c>
      <c r="AC107" s="17">
        <f t="shared" si="44"/>
        <v>0.9718601228156994</v>
      </c>
      <c r="AD107" s="17">
        <f t="shared" si="44"/>
        <v>0.9718601228156994</v>
      </c>
      <c r="AE107" s="17">
        <f t="shared" si="44"/>
        <v>0.9718601228156994</v>
      </c>
      <c r="AF107" s="17">
        <f t="shared" si="44"/>
        <v>0.9718601228156994</v>
      </c>
    </row>
    <row r="108" spans="1:32" ht="11.25">
      <c r="A108" s="44" t="s">
        <v>250</v>
      </c>
      <c r="B108" s="44"/>
      <c r="G108">
        <f t="shared" si="27"/>
        <v>2018</v>
      </c>
      <c r="J108" s="16">
        <f t="shared" si="29"/>
        <v>1</v>
      </c>
      <c r="K108" s="16">
        <f t="shared" si="30"/>
        <v>1</v>
      </c>
      <c r="L108" s="17">
        <f t="shared" si="32"/>
        <v>1</v>
      </c>
      <c r="M108" s="17">
        <f t="shared" si="34"/>
        <v>1</v>
      </c>
      <c r="N108" s="17">
        <f t="shared" si="36"/>
        <v>1</v>
      </c>
      <c r="O108" s="17">
        <f t="shared" si="38"/>
        <v>1</v>
      </c>
      <c r="P108" s="17">
        <f t="shared" si="40"/>
        <v>1</v>
      </c>
      <c r="Q108" s="17">
        <f t="shared" si="42"/>
        <v>1</v>
      </c>
      <c r="R108" s="17">
        <f>(1+$R$63)^(-R84)</f>
        <v>1</v>
      </c>
      <c r="S108" s="17">
        <f>(1+$S$63)^(-S84)</f>
        <v>1</v>
      </c>
      <c r="T108" s="17">
        <f>(1+$T$63)^(-T84)</f>
        <v>0.9972850206388776</v>
      </c>
      <c r="U108" s="17">
        <f aca="true" t="shared" si="45" ref="U108:AF108">(1+$T$63)^(-U84)</f>
        <v>0.9945774123906865</v>
      </c>
      <c r="V108" s="17">
        <f t="shared" si="45"/>
        <v>0.9918771552430072</v>
      </c>
      <c r="W108" s="17">
        <f t="shared" si="45"/>
        <v>0.9891842292377537</v>
      </c>
      <c r="X108" s="17">
        <f t="shared" si="45"/>
        <v>0.9864986144710255</v>
      </c>
      <c r="Y108" s="17">
        <f t="shared" si="45"/>
        <v>0.9838202910929608</v>
      </c>
      <c r="Z108" s="17">
        <f t="shared" si="45"/>
        <v>0.9811492393075898</v>
      </c>
      <c r="AA108" s="17">
        <f t="shared" si="45"/>
        <v>0.9784854393726888</v>
      </c>
      <c r="AB108" s="17">
        <f t="shared" si="45"/>
        <v>0.9758288715996332</v>
      </c>
      <c r="AC108" s="17">
        <f t="shared" si="45"/>
        <v>0.9731795163532528</v>
      </c>
      <c r="AD108" s="17">
        <f t="shared" si="45"/>
        <v>0.9731795163532528</v>
      </c>
      <c r="AE108" s="17">
        <f t="shared" si="45"/>
        <v>0.9731795163532528</v>
      </c>
      <c r="AF108" s="17">
        <f t="shared" si="45"/>
        <v>0.9731795163532528</v>
      </c>
    </row>
    <row r="109" spans="1:32" ht="11.25">
      <c r="A109" s="44" t="s">
        <v>250</v>
      </c>
      <c r="B109" s="44"/>
      <c r="G109">
        <f t="shared" si="27"/>
        <v>2019</v>
      </c>
      <c r="J109" s="16">
        <f t="shared" si="29"/>
        <v>1</v>
      </c>
      <c r="K109" s="16">
        <f t="shared" si="30"/>
        <v>1</v>
      </c>
      <c r="L109" s="17">
        <f t="shared" si="32"/>
        <v>1</v>
      </c>
      <c r="M109" s="17">
        <f t="shared" si="34"/>
        <v>1</v>
      </c>
      <c r="N109" s="17">
        <f t="shared" si="36"/>
        <v>1</v>
      </c>
      <c r="O109" s="17">
        <f t="shared" si="38"/>
        <v>1</v>
      </c>
      <c r="P109" s="17">
        <f t="shared" si="40"/>
        <v>1</v>
      </c>
      <c r="Q109" s="17">
        <f t="shared" si="42"/>
        <v>1</v>
      </c>
      <c r="R109" s="17">
        <f>(1+$R$63)^(-R85)</f>
        <v>1</v>
      </c>
      <c r="S109" s="17">
        <f>(1+$S$63)^(-S85)</f>
        <v>1</v>
      </c>
      <c r="T109" s="17">
        <f>(1+$T$63)^(-T85)</f>
        <v>1</v>
      </c>
      <c r="U109" s="17">
        <f>(1+$U$63)^(-U85)</f>
        <v>0.997408307577026</v>
      </c>
      <c r="V109" s="17">
        <f aca="true" t="shared" si="46" ref="V109:AF109">(1+$U$63)^(-V85)</f>
        <v>0.9948233320236674</v>
      </c>
      <c r="W109" s="17">
        <f t="shared" si="46"/>
        <v>0.9922450559318641</v>
      </c>
      <c r="X109" s="17">
        <f t="shared" si="46"/>
        <v>0.9896734619386721</v>
      </c>
      <c r="Y109" s="17">
        <f t="shared" si="46"/>
        <v>0.9871085327261472</v>
      </c>
      <c r="Z109" s="17">
        <f t="shared" si="46"/>
        <v>0.984550251021228</v>
      </c>
      <c r="AA109" s="17">
        <f t="shared" si="46"/>
        <v>0.9819985995956191</v>
      </c>
      <c r="AB109" s="17">
        <f t="shared" si="46"/>
        <v>0.9794535612656761</v>
      </c>
      <c r="AC109" s="17">
        <f t="shared" si="46"/>
        <v>0.976915118892289</v>
      </c>
      <c r="AD109" s="17">
        <f t="shared" si="46"/>
        <v>0.9743832553807672</v>
      </c>
      <c r="AE109" s="17">
        <f t="shared" si="46"/>
        <v>0.9743832553807672</v>
      </c>
      <c r="AF109" s="17">
        <f t="shared" si="46"/>
        <v>0.9743832553807672</v>
      </c>
    </row>
    <row r="110" spans="1:32" ht="11.25">
      <c r="A110" s="44" t="s">
        <v>250</v>
      </c>
      <c r="B110" s="44"/>
      <c r="G110">
        <f t="shared" si="27"/>
        <v>2020</v>
      </c>
      <c r="J110" s="16">
        <f t="shared" si="29"/>
        <v>1</v>
      </c>
      <c r="K110" s="16">
        <f t="shared" si="30"/>
        <v>1</v>
      </c>
      <c r="L110" s="17">
        <f t="shared" si="32"/>
        <v>1</v>
      </c>
      <c r="M110" s="17">
        <f t="shared" si="34"/>
        <v>1</v>
      </c>
      <c r="N110" s="17">
        <f t="shared" si="36"/>
        <v>1</v>
      </c>
      <c r="O110" s="17">
        <f t="shared" si="38"/>
        <v>1</v>
      </c>
      <c r="P110" s="17">
        <f t="shared" si="40"/>
        <v>1</v>
      </c>
      <c r="Q110" s="17">
        <f t="shared" si="42"/>
        <v>1</v>
      </c>
      <c r="R110" s="17">
        <f>(1+$R$63)^(-R86)</f>
        <v>1</v>
      </c>
      <c r="S110" s="17">
        <f>(1+$S$63)^(-S86)</f>
        <v>1</v>
      </c>
      <c r="T110" s="17">
        <f>(1+$T$63)^(-T86)</f>
        <v>1</v>
      </c>
      <c r="U110" s="17">
        <f>(1+$U$63)^(-U86)</f>
        <v>1</v>
      </c>
      <c r="V110" s="17">
        <f>(1+$V$63)^(-V86)</f>
        <v>0.9975211204097897</v>
      </c>
      <c r="W110" s="17">
        <f aca="true" t="shared" si="47" ref="W110:AF110">(1+$V$63)^(-W86)</f>
        <v>0.995048385663602</v>
      </c>
      <c r="X110" s="17">
        <f t="shared" si="47"/>
        <v>0.9925817805291085</v>
      </c>
      <c r="Y110" s="17">
        <f t="shared" si="47"/>
        <v>0.9901212898117402</v>
      </c>
      <c r="Z110" s="17">
        <f t="shared" si="47"/>
        <v>0.9876668983545931</v>
      </c>
      <c r="AA110" s="17">
        <f t="shared" si="47"/>
        <v>0.9852185910383353</v>
      </c>
      <c r="AB110" s="17">
        <f t="shared" si="47"/>
        <v>0.9827763527811145</v>
      </c>
      <c r="AC110" s="17">
        <f t="shared" si="47"/>
        <v>0.980340168538464</v>
      </c>
      <c r="AD110" s="17">
        <f t="shared" si="47"/>
        <v>0.9779100233032104</v>
      </c>
      <c r="AE110" s="17">
        <f t="shared" si="47"/>
        <v>0.9754859021053818</v>
      </c>
      <c r="AF110" s="17">
        <f t="shared" si="47"/>
        <v>0.9754859021053818</v>
      </c>
    </row>
    <row r="111" spans="1:32" ht="11.25">
      <c r="A111" s="44" t="s">
        <v>250</v>
      </c>
      <c r="G111">
        <f t="shared" si="27"/>
        <v>2021</v>
      </c>
      <c r="J111" s="16">
        <f t="shared" si="29"/>
        <v>1</v>
      </c>
      <c r="K111" s="16">
        <f t="shared" si="30"/>
        <v>1</v>
      </c>
      <c r="L111" s="17">
        <f t="shared" si="32"/>
        <v>1</v>
      </c>
      <c r="M111" s="17">
        <f t="shared" si="34"/>
        <v>1</v>
      </c>
      <c r="N111" s="17">
        <f t="shared" si="36"/>
        <v>1</v>
      </c>
      <c r="O111" s="17">
        <f t="shared" si="38"/>
        <v>1</v>
      </c>
      <c r="P111" s="17">
        <f t="shared" si="40"/>
        <v>1</v>
      </c>
      <c r="Q111" s="17">
        <f t="shared" si="42"/>
        <v>1</v>
      </c>
      <c r="R111" s="17">
        <f aca="true" t="shared" si="48" ref="R111:R120">(1+$R$63)^(-R87)</f>
        <v>1</v>
      </c>
      <c r="S111" s="17">
        <f aca="true" t="shared" si="49" ref="S111:S120">(1+$S$63)^(-S87)</f>
        <v>1</v>
      </c>
      <c r="T111" s="17">
        <f aca="true" t="shared" si="50" ref="T111:T120">(1+$T$63)^(-T87)</f>
        <v>1</v>
      </c>
      <c r="U111" s="17">
        <f aca="true" t="shared" si="51" ref="U111:U120">(1+$U$63)^(-U87)</f>
        <v>1</v>
      </c>
      <c r="V111" s="17">
        <f aca="true" t="shared" si="52" ref="V111:AF120">(1+$V$63)^(-V87)</f>
        <v>1</v>
      </c>
      <c r="W111" s="17">
        <f t="shared" si="52"/>
        <v>0.9975211204097897</v>
      </c>
      <c r="X111" s="17">
        <f t="shared" si="52"/>
        <v>0.995048385663602</v>
      </c>
      <c r="Y111" s="17">
        <f t="shared" si="52"/>
        <v>0.9925817805291085</v>
      </c>
      <c r="Z111" s="17">
        <f t="shared" si="52"/>
        <v>0.9901212898117402</v>
      </c>
      <c r="AA111" s="17">
        <f t="shared" si="52"/>
        <v>0.9876668983545931</v>
      </c>
      <c r="AB111" s="17">
        <f t="shared" si="52"/>
        <v>0.9852185910383353</v>
      </c>
      <c r="AC111" s="17">
        <f t="shared" si="52"/>
        <v>0.9827763527811145</v>
      </c>
      <c r="AD111" s="17">
        <f t="shared" si="52"/>
        <v>0.980340168538464</v>
      </c>
      <c r="AE111" s="17">
        <f t="shared" si="52"/>
        <v>0.9779100233032104</v>
      </c>
      <c r="AF111" s="17">
        <f t="shared" si="52"/>
        <v>0.9754859021053818</v>
      </c>
    </row>
    <row r="112" spans="1:32" ht="11.25">
      <c r="A112" s="44" t="s">
        <v>250</v>
      </c>
      <c r="G112">
        <f t="shared" si="27"/>
        <v>2022</v>
      </c>
      <c r="J112" s="16">
        <f t="shared" si="29"/>
        <v>1</v>
      </c>
      <c r="K112" s="16">
        <f t="shared" si="30"/>
        <v>1</v>
      </c>
      <c r="L112" s="17">
        <f t="shared" si="32"/>
        <v>1</v>
      </c>
      <c r="M112" s="17">
        <f t="shared" si="34"/>
        <v>1</v>
      </c>
      <c r="N112" s="17">
        <f t="shared" si="36"/>
        <v>1</v>
      </c>
      <c r="O112" s="17">
        <f t="shared" si="38"/>
        <v>1</v>
      </c>
      <c r="P112" s="17">
        <f t="shared" si="40"/>
        <v>1</v>
      </c>
      <c r="Q112" s="17">
        <f t="shared" si="42"/>
        <v>1</v>
      </c>
      <c r="R112" s="17">
        <f t="shared" si="48"/>
        <v>1</v>
      </c>
      <c r="S112" s="17">
        <f t="shared" si="49"/>
        <v>1</v>
      </c>
      <c r="T112" s="17">
        <f t="shared" si="50"/>
        <v>1</v>
      </c>
      <c r="U112" s="17">
        <f t="shared" si="51"/>
        <v>1</v>
      </c>
      <c r="V112" s="17">
        <f t="shared" si="52"/>
        <v>1</v>
      </c>
      <c r="W112" s="17">
        <f t="shared" si="52"/>
        <v>1</v>
      </c>
      <c r="X112" s="17">
        <f t="shared" si="52"/>
        <v>0.9975211204097897</v>
      </c>
      <c r="Y112" s="17">
        <f t="shared" si="52"/>
        <v>0.995048385663602</v>
      </c>
      <c r="Z112" s="17">
        <f t="shared" si="52"/>
        <v>0.9925817805291085</v>
      </c>
      <c r="AA112" s="17">
        <f t="shared" si="52"/>
        <v>0.9901212898117402</v>
      </c>
      <c r="AB112" s="17">
        <f t="shared" si="52"/>
        <v>0.9876668983545931</v>
      </c>
      <c r="AC112" s="17">
        <f t="shared" si="52"/>
        <v>0.9852185910383353</v>
      </c>
      <c r="AD112" s="17">
        <f t="shared" si="52"/>
        <v>0.9827763527811145</v>
      </c>
      <c r="AE112" s="17">
        <f t="shared" si="52"/>
        <v>0.980340168538464</v>
      </c>
      <c r="AF112" s="17">
        <f t="shared" si="52"/>
        <v>0.9779100233032104</v>
      </c>
    </row>
    <row r="113" spans="1:32" ht="11.25">
      <c r="A113" s="44" t="s">
        <v>250</v>
      </c>
      <c r="G113">
        <f t="shared" si="27"/>
        <v>2023</v>
      </c>
      <c r="J113" s="16">
        <f t="shared" si="29"/>
        <v>1</v>
      </c>
      <c r="K113" s="16">
        <f t="shared" si="30"/>
        <v>1</v>
      </c>
      <c r="L113" s="17">
        <f t="shared" si="32"/>
        <v>1</v>
      </c>
      <c r="M113" s="17">
        <f t="shared" si="34"/>
        <v>1</v>
      </c>
      <c r="N113" s="17">
        <f t="shared" si="36"/>
        <v>1</v>
      </c>
      <c r="O113" s="17">
        <f t="shared" si="38"/>
        <v>1</v>
      </c>
      <c r="P113" s="17">
        <f t="shared" si="40"/>
        <v>1</v>
      </c>
      <c r="Q113" s="17">
        <f t="shared" si="42"/>
        <v>1</v>
      </c>
      <c r="R113" s="17">
        <f t="shared" si="48"/>
        <v>1</v>
      </c>
      <c r="S113" s="17">
        <f t="shared" si="49"/>
        <v>1</v>
      </c>
      <c r="T113" s="17">
        <f t="shared" si="50"/>
        <v>1</v>
      </c>
      <c r="U113" s="17">
        <f t="shared" si="51"/>
        <v>1</v>
      </c>
      <c r="V113" s="17">
        <f t="shared" si="52"/>
        <v>1</v>
      </c>
      <c r="W113" s="17">
        <f t="shared" si="52"/>
        <v>1</v>
      </c>
      <c r="X113" s="17">
        <f t="shared" si="52"/>
        <v>1</v>
      </c>
      <c r="Y113" s="17">
        <f t="shared" si="52"/>
        <v>0.9975211204097897</v>
      </c>
      <c r="Z113" s="17">
        <f t="shared" si="52"/>
        <v>0.995048385663602</v>
      </c>
      <c r="AA113" s="17">
        <f t="shared" si="52"/>
        <v>0.9925817805291085</v>
      </c>
      <c r="AB113" s="17">
        <f t="shared" si="52"/>
        <v>0.9901212898117402</v>
      </c>
      <c r="AC113" s="17">
        <f t="shared" si="52"/>
        <v>0.9876668983545931</v>
      </c>
      <c r="AD113" s="17">
        <f t="shared" si="52"/>
        <v>0.9852185910383353</v>
      </c>
      <c r="AE113" s="17">
        <f t="shared" si="52"/>
        <v>0.9827763527811145</v>
      </c>
      <c r="AF113" s="17">
        <f t="shared" si="52"/>
        <v>0.980340168538464</v>
      </c>
    </row>
    <row r="114" spans="1:32" ht="11.25">
      <c r="A114" s="44" t="s">
        <v>250</v>
      </c>
      <c r="G114">
        <f t="shared" si="27"/>
        <v>2024</v>
      </c>
      <c r="J114" s="16">
        <f t="shared" si="29"/>
        <v>1</v>
      </c>
      <c r="K114" s="16">
        <f t="shared" si="30"/>
        <v>1</v>
      </c>
      <c r="L114" s="17">
        <f t="shared" si="32"/>
        <v>1</v>
      </c>
      <c r="M114" s="17">
        <f t="shared" si="34"/>
        <v>1</v>
      </c>
      <c r="N114" s="17">
        <f t="shared" si="36"/>
        <v>1</v>
      </c>
      <c r="O114" s="17">
        <f t="shared" si="38"/>
        <v>1</v>
      </c>
      <c r="P114" s="17">
        <f t="shared" si="40"/>
        <v>1</v>
      </c>
      <c r="Q114" s="17">
        <f t="shared" si="42"/>
        <v>1</v>
      </c>
      <c r="R114" s="17">
        <f t="shared" si="48"/>
        <v>1</v>
      </c>
      <c r="S114" s="17">
        <f t="shared" si="49"/>
        <v>1</v>
      </c>
      <c r="T114" s="17">
        <f t="shared" si="50"/>
        <v>1</v>
      </c>
      <c r="U114" s="17">
        <f t="shared" si="51"/>
        <v>1</v>
      </c>
      <c r="V114" s="17">
        <f t="shared" si="52"/>
        <v>1</v>
      </c>
      <c r="W114" s="17">
        <f t="shared" si="52"/>
        <v>1</v>
      </c>
      <c r="X114" s="17">
        <f t="shared" si="52"/>
        <v>1</v>
      </c>
      <c r="Y114" s="17">
        <f t="shared" si="52"/>
        <v>1</v>
      </c>
      <c r="Z114" s="17">
        <f t="shared" si="52"/>
        <v>0.9975211204097897</v>
      </c>
      <c r="AA114" s="17">
        <f t="shared" si="52"/>
        <v>0.995048385663602</v>
      </c>
      <c r="AB114" s="17">
        <f t="shared" si="52"/>
        <v>0.9925817805291085</v>
      </c>
      <c r="AC114" s="17">
        <f t="shared" si="52"/>
        <v>0.9901212898117402</v>
      </c>
      <c r="AD114" s="17">
        <f t="shared" si="52"/>
        <v>0.9876668983545931</v>
      </c>
      <c r="AE114" s="17">
        <f t="shared" si="52"/>
        <v>0.9852185910383353</v>
      </c>
      <c r="AF114" s="17">
        <f t="shared" si="52"/>
        <v>0.9827763527811145</v>
      </c>
    </row>
    <row r="115" spans="1:32" ht="11.25">
      <c r="A115" s="44" t="s">
        <v>250</v>
      </c>
      <c r="G115">
        <f t="shared" si="27"/>
        <v>2025</v>
      </c>
      <c r="J115" s="16">
        <f t="shared" si="29"/>
        <v>1</v>
      </c>
      <c r="K115" s="16">
        <f t="shared" si="30"/>
        <v>1</v>
      </c>
      <c r="L115" s="17">
        <f t="shared" si="32"/>
        <v>1</v>
      </c>
      <c r="M115" s="17">
        <f t="shared" si="34"/>
        <v>1</v>
      </c>
      <c r="N115" s="17">
        <f t="shared" si="36"/>
        <v>1</v>
      </c>
      <c r="O115" s="17">
        <f t="shared" si="38"/>
        <v>1</v>
      </c>
      <c r="P115" s="17">
        <f t="shared" si="40"/>
        <v>1</v>
      </c>
      <c r="Q115" s="17">
        <f t="shared" si="42"/>
        <v>1</v>
      </c>
      <c r="R115" s="17">
        <f t="shared" si="48"/>
        <v>1</v>
      </c>
      <c r="S115" s="17">
        <f t="shared" si="49"/>
        <v>1</v>
      </c>
      <c r="T115" s="17">
        <f t="shared" si="50"/>
        <v>1</v>
      </c>
      <c r="U115" s="17">
        <f t="shared" si="51"/>
        <v>1</v>
      </c>
      <c r="V115" s="17">
        <f t="shared" si="52"/>
        <v>1</v>
      </c>
      <c r="W115" s="17">
        <f t="shared" si="52"/>
        <v>1</v>
      </c>
      <c r="X115" s="17">
        <f t="shared" si="52"/>
        <v>1</v>
      </c>
      <c r="Y115" s="17">
        <f t="shared" si="52"/>
        <v>1</v>
      </c>
      <c r="Z115" s="17">
        <f t="shared" si="52"/>
        <v>1</v>
      </c>
      <c r="AA115" s="17">
        <f t="shared" si="52"/>
        <v>0.9975211204097897</v>
      </c>
      <c r="AB115" s="17">
        <f t="shared" si="52"/>
        <v>0.995048385663602</v>
      </c>
      <c r="AC115" s="17">
        <f t="shared" si="52"/>
        <v>0.9925817805291085</v>
      </c>
      <c r="AD115" s="17">
        <f t="shared" si="52"/>
        <v>0.9901212898117402</v>
      </c>
      <c r="AE115" s="17">
        <f t="shared" si="52"/>
        <v>0.9876668983545931</v>
      </c>
      <c r="AF115" s="17">
        <f t="shared" si="52"/>
        <v>0.9852185910383353</v>
      </c>
    </row>
    <row r="116" spans="1:32" ht="11.25">
      <c r="A116" s="44" t="s">
        <v>250</v>
      </c>
      <c r="G116">
        <f t="shared" si="27"/>
        <v>2026</v>
      </c>
      <c r="J116" s="16">
        <f t="shared" si="29"/>
        <v>1</v>
      </c>
      <c r="K116" s="16">
        <f t="shared" si="30"/>
        <v>1</v>
      </c>
      <c r="L116" s="17">
        <f t="shared" si="32"/>
        <v>1</v>
      </c>
      <c r="M116" s="17">
        <f t="shared" si="34"/>
        <v>1</v>
      </c>
      <c r="N116" s="17">
        <f t="shared" si="36"/>
        <v>1</v>
      </c>
      <c r="O116" s="17">
        <f t="shared" si="38"/>
        <v>1</v>
      </c>
      <c r="P116" s="17">
        <f t="shared" si="40"/>
        <v>1</v>
      </c>
      <c r="Q116" s="17">
        <f t="shared" si="42"/>
        <v>1</v>
      </c>
      <c r="R116" s="17">
        <f t="shared" si="48"/>
        <v>1</v>
      </c>
      <c r="S116" s="17">
        <f t="shared" si="49"/>
        <v>1</v>
      </c>
      <c r="T116" s="17">
        <f t="shared" si="50"/>
        <v>1</v>
      </c>
      <c r="U116" s="17">
        <f t="shared" si="51"/>
        <v>1</v>
      </c>
      <c r="V116" s="17">
        <f t="shared" si="52"/>
        <v>1</v>
      </c>
      <c r="W116" s="17">
        <f t="shared" si="52"/>
        <v>1</v>
      </c>
      <c r="X116" s="17">
        <f t="shared" si="52"/>
        <v>1</v>
      </c>
      <c r="Y116" s="17">
        <f t="shared" si="52"/>
        <v>1</v>
      </c>
      <c r="Z116" s="17">
        <f t="shared" si="52"/>
        <v>1</v>
      </c>
      <c r="AA116" s="17">
        <f t="shared" si="52"/>
        <v>1</v>
      </c>
      <c r="AB116" s="17">
        <f t="shared" si="52"/>
        <v>0.9975211204097897</v>
      </c>
      <c r="AC116" s="17">
        <f t="shared" si="52"/>
        <v>0.995048385663602</v>
      </c>
      <c r="AD116" s="17">
        <f t="shared" si="52"/>
        <v>0.9925817805291085</v>
      </c>
      <c r="AE116" s="17">
        <f t="shared" si="52"/>
        <v>0.9901212898117402</v>
      </c>
      <c r="AF116" s="17">
        <f t="shared" si="52"/>
        <v>0.9876668983545931</v>
      </c>
    </row>
    <row r="117" spans="1:32" ht="11.25">
      <c r="A117" s="44" t="s">
        <v>250</v>
      </c>
      <c r="G117">
        <f t="shared" si="27"/>
        <v>2027</v>
      </c>
      <c r="J117" s="16">
        <f t="shared" si="29"/>
        <v>1</v>
      </c>
      <c r="K117" s="16">
        <f t="shared" si="30"/>
        <v>1</v>
      </c>
      <c r="L117" s="17">
        <f t="shared" si="32"/>
        <v>1</v>
      </c>
      <c r="M117" s="17">
        <f t="shared" si="34"/>
        <v>1</v>
      </c>
      <c r="N117" s="17">
        <f t="shared" si="36"/>
        <v>1</v>
      </c>
      <c r="O117" s="17">
        <f t="shared" si="38"/>
        <v>1</v>
      </c>
      <c r="P117" s="17">
        <f t="shared" si="40"/>
        <v>1</v>
      </c>
      <c r="Q117" s="17">
        <f t="shared" si="42"/>
        <v>1</v>
      </c>
      <c r="R117" s="17">
        <f t="shared" si="48"/>
        <v>1</v>
      </c>
      <c r="S117" s="17">
        <f t="shared" si="49"/>
        <v>1</v>
      </c>
      <c r="T117" s="17">
        <f t="shared" si="50"/>
        <v>1</v>
      </c>
      <c r="U117" s="17">
        <f t="shared" si="51"/>
        <v>1</v>
      </c>
      <c r="V117" s="17">
        <f t="shared" si="52"/>
        <v>1</v>
      </c>
      <c r="W117" s="17">
        <f t="shared" si="52"/>
        <v>1</v>
      </c>
      <c r="X117" s="17">
        <f t="shared" si="52"/>
        <v>1</v>
      </c>
      <c r="Y117" s="17">
        <f t="shared" si="52"/>
        <v>1</v>
      </c>
      <c r="Z117" s="17">
        <f t="shared" si="52"/>
        <v>1</v>
      </c>
      <c r="AA117" s="17">
        <f t="shared" si="52"/>
        <v>1</v>
      </c>
      <c r="AB117" s="17">
        <f t="shared" si="52"/>
        <v>1</v>
      </c>
      <c r="AC117" s="17">
        <f t="shared" si="52"/>
        <v>0.9975211204097897</v>
      </c>
      <c r="AD117" s="17">
        <f t="shared" si="52"/>
        <v>0.995048385663602</v>
      </c>
      <c r="AE117" s="17">
        <f t="shared" si="52"/>
        <v>0.9925817805291085</v>
      </c>
      <c r="AF117" s="17">
        <f t="shared" si="52"/>
        <v>0.9901212898117402</v>
      </c>
    </row>
    <row r="118" spans="1:32" ht="11.25">
      <c r="A118" s="44" t="s">
        <v>250</v>
      </c>
      <c r="G118">
        <f t="shared" si="27"/>
        <v>2028</v>
      </c>
      <c r="J118" s="16">
        <f t="shared" si="29"/>
        <v>1</v>
      </c>
      <c r="K118" s="16">
        <f t="shared" si="30"/>
        <v>1</v>
      </c>
      <c r="L118" s="17">
        <f t="shared" si="32"/>
        <v>1</v>
      </c>
      <c r="M118" s="17">
        <f t="shared" si="34"/>
        <v>1</v>
      </c>
      <c r="N118" s="17">
        <f t="shared" si="36"/>
        <v>1</v>
      </c>
      <c r="O118" s="17">
        <f t="shared" si="38"/>
        <v>1</v>
      </c>
      <c r="P118" s="17">
        <f t="shared" si="40"/>
        <v>1</v>
      </c>
      <c r="Q118" s="17">
        <f t="shared" si="42"/>
        <v>1</v>
      </c>
      <c r="R118" s="17">
        <f t="shared" si="48"/>
        <v>1</v>
      </c>
      <c r="S118" s="17">
        <f t="shared" si="49"/>
        <v>1</v>
      </c>
      <c r="T118" s="17">
        <f t="shared" si="50"/>
        <v>1</v>
      </c>
      <c r="U118" s="17">
        <f t="shared" si="51"/>
        <v>1</v>
      </c>
      <c r="V118" s="17">
        <f t="shared" si="52"/>
        <v>1</v>
      </c>
      <c r="W118" s="17">
        <f t="shared" si="52"/>
        <v>1</v>
      </c>
      <c r="X118" s="17">
        <f t="shared" si="52"/>
        <v>1</v>
      </c>
      <c r="Y118" s="17">
        <f t="shared" si="52"/>
        <v>1</v>
      </c>
      <c r="Z118" s="17">
        <f t="shared" si="52"/>
        <v>1</v>
      </c>
      <c r="AA118" s="17">
        <f t="shared" si="52"/>
        <v>1</v>
      </c>
      <c r="AB118" s="17">
        <f t="shared" si="52"/>
        <v>1</v>
      </c>
      <c r="AC118" s="17">
        <f t="shared" si="52"/>
        <v>1</v>
      </c>
      <c r="AD118" s="17">
        <f t="shared" si="52"/>
        <v>0.9975211204097897</v>
      </c>
      <c r="AE118" s="17">
        <f t="shared" si="52"/>
        <v>0.995048385663602</v>
      </c>
      <c r="AF118" s="17">
        <f t="shared" si="52"/>
        <v>0.9925817805291085</v>
      </c>
    </row>
    <row r="119" spans="1:32" ht="11.25">
      <c r="A119" s="44" t="s">
        <v>250</v>
      </c>
      <c r="G119">
        <f t="shared" si="27"/>
        <v>2029</v>
      </c>
      <c r="J119" s="16">
        <f t="shared" si="29"/>
        <v>1</v>
      </c>
      <c r="K119" s="16">
        <f t="shared" si="30"/>
        <v>1</v>
      </c>
      <c r="L119" s="17">
        <f t="shared" si="32"/>
        <v>1</v>
      </c>
      <c r="M119" s="17">
        <f t="shared" si="34"/>
        <v>1</v>
      </c>
      <c r="N119" s="17">
        <f t="shared" si="36"/>
        <v>1</v>
      </c>
      <c r="O119" s="17">
        <f t="shared" si="38"/>
        <v>1</v>
      </c>
      <c r="P119" s="17">
        <f t="shared" si="40"/>
        <v>1</v>
      </c>
      <c r="Q119" s="17">
        <f t="shared" si="42"/>
        <v>1</v>
      </c>
      <c r="R119" s="17">
        <f t="shared" si="48"/>
        <v>1</v>
      </c>
      <c r="S119" s="17">
        <f t="shared" si="49"/>
        <v>1</v>
      </c>
      <c r="T119" s="17">
        <f t="shared" si="50"/>
        <v>1</v>
      </c>
      <c r="U119" s="17">
        <f t="shared" si="51"/>
        <v>1</v>
      </c>
      <c r="V119" s="17">
        <f t="shared" si="52"/>
        <v>1</v>
      </c>
      <c r="W119" s="17">
        <f t="shared" si="52"/>
        <v>1</v>
      </c>
      <c r="X119" s="17">
        <f t="shared" si="52"/>
        <v>1</v>
      </c>
      <c r="Y119" s="17">
        <f t="shared" si="52"/>
        <v>1</v>
      </c>
      <c r="Z119" s="17">
        <f t="shared" si="52"/>
        <v>1</v>
      </c>
      <c r="AA119" s="17">
        <f t="shared" si="52"/>
        <v>1</v>
      </c>
      <c r="AB119" s="17">
        <f t="shared" si="52"/>
        <v>1</v>
      </c>
      <c r="AC119" s="17">
        <f t="shared" si="52"/>
        <v>1</v>
      </c>
      <c r="AD119" s="17">
        <f t="shared" si="52"/>
        <v>1</v>
      </c>
      <c r="AE119" s="17">
        <f t="shared" si="52"/>
        <v>0.9975211204097897</v>
      </c>
      <c r="AF119" s="17">
        <f t="shared" si="52"/>
        <v>0.995048385663602</v>
      </c>
    </row>
    <row r="120" spans="1:32" ht="11.25">
      <c r="A120" s="44" t="s">
        <v>250</v>
      </c>
      <c r="G120">
        <f t="shared" si="27"/>
        <v>2030</v>
      </c>
      <c r="J120" s="16">
        <f t="shared" si="29"/>
        <v>1</v>
      </c>
      <c r="K120" s="16">
        <f t="shared" si="30"/>
        <v>1</v>
      </c>
      <c r="L120" s="17">
        <f t="shared" si="32"/>
        <v>1</v>
      </c>
      <c r="M120" s="17">
        <f t="shared" si="34"/>
        <v>1</v>
      </c>
      <c r="N120" s="17">
        <f t="shared" si="36"/>
        <v>1</v>
      </c>
      <c r="O120" s="17">
        <f t="shared" si="38"/>
        <v>1</v>
      </c>
      <c r="P120" s="17">
        <f t="shared" si="40"/>
        <v>1</v>
      </c>
      <c r="Q120" s="17">
        <f t="shared" si="42"/>
        <v>1</v>
      </c>
      <c r="R120" s="17">
        <f t="shared" si="48"/>
        <v>1</v>
      </c>
      <c r="S120" s="17">
        <f t="shared" si="49"/>
        <v>1</v>
      </c>
      <c r="T120" s="17">
        <f t="shared" si="50"/>
        <v>1</v>
      </c>
      <c r="U120" s="17">
        <f t="shared" si="51"/>
        <v>1</v>
      </c>
      <c r="V120" s="17">
        <f t="shared" si="52"/>
        <v>1</v>
      </c>
      <c r="W120" s="17">
        <f t="shared" si="52"/>
        <v>1</v>
      </c>
      <c r="X120" s="17">
        <f t="shared" si="52"/>
        <v>1</v>
      </c>
      <c r="Y120" s="17">
        <f t="shared" si="52"/>
        <v>1</v>
      </c>
      <c r="Z120" s="17">
        <f t="shared" si="52"/>
        <v>1</v>
      </c>
      <c r="AA120" s="17">
        <f t="shared" si="52"/>
        <v>1</v>
      </c>
      <c r="AB120" s="17">
        <f t="shared" si="52"/>
        <v>1</v>
      </c>
      <c r="AC120" s="17">
        <f t="shared" si="52"/>
        <v>1</v>
      </c>
      <c r="AD120" s="17">
        <f t="shared" si="52"/>
        <v>1</v>
      </c>
      <c r="AE120" s="17">
        <f t="shared" si="52"/>
        <v>1</v>
      </c>
      <c r="AF120" s="17">
        <f t="shared" si="52"/>
        <v>0.9975211204097897</v>
      </c>
    </row>
    <row r="122" spans="1:32" ht="11.25">
      <c r="A122" t="s">
        <v>73</v>
      </c>
      <c r="J122" s="42">
        <f aca="true" t="shared" si="53" ref="J122:AF122">1-J98*J99*J100*J101*J102*J103*J104*J105*J106*J107*J108*J109*J110</f>
        <v>0.005122553689742015</v>
      </c>
      <c r="K122" s="42">
        <f t="shared" si="53"/>
        <v>0.014879814254129431</v>
      </c>
      <c r="L122" s="42">
        <f t="shared" si="53"/>
        <v>0.028791105122977334</v>
      </c>
      <c r="M122" s="42">
        <f t="shared" si="53"/>
        <v>0.04638636361524662</v>
      </c>
      <c r="N122" s="42">
        <f t="shared" si="53"/>
        <v>0.0672095275094522</v>
      </c>
      <c r="O122" s="42">
        <f t="shared" si="53"/>
        <v>0.09082163508968044</v>
      </c>
      <c r="P122" s="42">
        <f t="shared" si="53"/>
        <v>0.11680351597473504</v>
      </c>
      <c r="Q122" s="42">
        <f t="shared" si="53"/>
        <v>0.14475801551602552</v>
      </c>
      <c r="R122" s="42">
        <f t="shared" si="53"/>
        <v>0.17431173661669908</v>
      </c>
      <c r="S122" s="42">
        <f t="shared" si="53"/>
        <v>0.20511630883071752</v>
      </c>
      <c r="T122" s="42">
        <f t="shared" si="53"/>
        <v>0.23291980145694446</v>
      </c>
      <c r="U122" s="42">
        <f t="shared" si="53"/>
        <v>0.2581759796960864</v>
      </c>
      <c r="V122" s="42">
        <f t="shared" si="53"/>
        <v>0.2812475955531567</v>
      </c>
      <c r="W122" s="42">
        <f t="shared" si="53"/>
        <v>0.30076789419156624</v>
      </c>
      <c r="X122" s="42">
        <f t="shared" si="53"/>
        <v>0.317171618340616</v>
      </c>
      <c r="Y122" s="42">
        <f t="shared" si="53"/>
        <v>0.33081156754871355</v>
      </c>
      <c r="Z122" s="42">
        <f t="shared" si="53"/>
        <v>0.34197553881063003</v>
      </c>
      <c r="AA122" s="42">
        <f t="shared" si="53"/>
        <v>0.35089910325470897</v>
      </c>
      <c r="AB122" s="42">
        <f t="shared" si="53"/>
        <v>0.35777536256052533</v>
      </c>
      <c r="AC122" s="42">
        <f t="shared" si="53"/>
        <v>0.362762479518675</v>
      </c>
      <c r="AD122" s="42">
        <f t="shared" si="53"/>
        <v>0.3659895443275014</v>
      </c>
      <c r="AE122" s="42">
        <f t="shared" si="53"/>
        <v>0.367561179906048</v>
      </c>
      <c r="AF122" s="42">
        <f t="shared" si="53"/>
        <v>0.367561179906048</v>
      </c>
    </row>
    <row r="124" spans="1:3" ht="12">
      <c r="A124" s="9" t="s">
        <v>76</v>
      </c>
      <c r="C124" t="s">
        <v>12</v>
      </c>
    </row>
    <row r="126" spans="1:7" ht="11.25">
      <c r="A126" s="155" t="s">
        <v>13</v>
      </c>
      <c r="B126" s="155"/>
      <c r="C126" s="155"/>
      <c r="D126" s="155"/>
      <c r="E126" s="155"/>
      <c r="F126" s="155"/>
      <c r="G126" s="155"/>
    </row>
    <row r="127" spans="1:7" ht="11.25">
      <c r="A127" s="155"/>
      <c r="B127" s="155"/>
      <c r="C127" s="155"/>
      <c r="D127" s="155"/>
      <c r="E127" s="155"/>
      <c r="F127" s="155"/>
      <c r="G127" s="155"/>
    </row>
    <row r="129" spans="1:6" ht="11.25">
      <c r="A129" s="14" t="s">
        <v>79</v>
      </c>
      <c r="E129" s="13"/>
      <c r="F129" s="13">
        <v>2020</v>
      </c>
    </row>
    <row r="131" spans="1:6" ht="11.25">
      <c r="A131" t="s">
        <v>89</v>
      </c>
      <c r="F131" s="52">
        <f>V39</f>
        <v>38778.17133567512</v>
      </c>
    </row>
    <row r="132" spans="1:6" ht="11.25">
      <c r="A132" t="s">
        <v>90</v>
      </c>
      <c r="F132" s="52">
        <f>V55</f>
        <v>27871.90388756815</v>
      </c>
    </row>
    <row r="133" spans="1:9" s="14" customFormat="1" ht="9.75">
      <c r="A133" s="14" t="s">
        <v>148</v>
      </c>
      <c r="F133" s="53">
        <f>F132/F131</f>
        <v>0.7187524044468433</v>
      </c>
      <c r="I133" s="79"/>
    </row>
    <row r="135" spans="1:6" ht="11.25">
      <c r="A135" t="s">
        <v>115</v>
      </c>
      <c r="F135" s="24">
        <f>G51</f>
        <v>21.512972249999997</v>
      </c>
    </row>
    <row r="136" spans="1:6" ht="11.25">
      <c r="A136" t="s">
        <v>116</v>
      </c>
      <c r="F136" s="24">
        <f>V51</f>
        <v>20.90445742955736</v>
      </c>
    </row>
    <row r="137" spans="1:9" s="14" customFormat="1" ht="9.75">
      <c r="A137" s="14" t="s">
        <v>148</v>
      </c>
      <c r="F137" s="53">
        <f>F136/F135</f>
        <v>0.9717140517186027</v>
      </c>
      <c r="I137" s="79"/>
    </row>
    <row r="138" ht="11.25">
      <c r="F138" s="24"/>
    </row>
    <row r="139" spans="1:6" ht="11.25">
      <c r="A139" s="3" t="s">
        <v>84</v>
      </c>
      <c r="F139" s="24"/>
    </row>
    <row r="140" spans="1:6" ht="11.25">
      <c r="A140" t="s">
        <v>81</v>
      </c>
      <c r="F140" s="24">
        <f>V42</f>
        <v>378.33728972794745</v>
      </c>
    </row>
    <row r="141" spans="1:6" ht="11.25">
      <c r="A141" t="s">
        <v>83</v>
      </c>
      <c r="F141" s="24">
        <f>V56</f>
        <v>264.23901510130736</v>
      </c>
    </row>
    <row r="142" spans="1:6" ht="11.25">
      <c r="A142" s="14" t="s">
        <v>148</v>
      </c>
      <c r="B142" s="14"/>
      <c r="C142" s="14"/>
      <c r="D142" s="14"/>
      <c r="E142" s="14"/>
      <c r="F142" s="102">
        <f>F141/F140</f>
        <v>0.69842181110753</v>
      </c>
    </row>
    <row r="143" ht="11.25">
      <c r="F143" s="24"/>
    </row>
    <row r="144" spans="1:6" ht="11.25">
      <c r="A144" s="14" t="s">
        <v>147</v>
      </c>
      <c r="B144" s="14"/>
      <c r="C144" s="14"/>
      <c r="D144" s="14"/>
      <c r="E144" s="14"/>
      <c r="F144" s="102">
        <f>F137*F133</f>
        <v>0.6984218111075299</v>
      </c>
    </row>
    <row r="145" ht="11.25">
      <c r="F145" s="24"/>
    </row>
    <row r="146" spans="1:6" ht="11.25">
      <c r="A146" t="s">
        <v>85</v>
      </c>
      <c r="F146" s="24"/>
    </row>
    <row r="147" spans="1:6" ht="11.25">
      <c r="A147" t="s">
        <v>86</v>
      </c>
      <c r="F147" s="7">
        <f>(1-F133)/(1-F137)</f>
        <v>9.94301455815514</v>
      </c>
    </row>
    <row r="149" spans="1:6" ht="12">
      <c r="A149" s="54" t="s">
        <v>87</v>
      </c>
      <c r="B149" s="55"/>
      <c r="C149" s="55"/>
      <c r="D149" s="55"/>
      <c r="E149" s="55"/>
      <c r="F149" s="56">
        <f>F147/(1+F147)</f>
        <v>0.9086175025459723</v>
      </c>
    </row>
    <row r="150" spans="1:6" ht="12">
      <c r="A150" s="57" t="s">
        <v>88</v>
      </c>
      <c r="B150" s="58"/>
      <c r="C150" s="58"/>
      <c r="D150" s="58"/>
      <c r="E150" s="58"/>
      <c r="F150" s="59">
        <f>1-F149</f>
        <v>0.09138249745402771</v>
      </c>
    </row>
  </sheetData>
  <mergeCells count="3">
    <mergeCell ref="A3:E5"/>
    <mergeCell ref="L69:V72"/>
    <mergeCell ref="A126:G1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G152"/>
  <sheetViews>
    <sheetView workbookViewId="0" topLeftCell="A1">
      <selection activeCell="H11" sqref="H11"/>
    </sheetView>
  </sheetViews>
  <sheetFormatPr defaultColWidth="9.140625" defaultRowHeight="12"/>
  <cols>
    <col min="7" max="7" width="12.140625" style="0" customWidth="1"/>
    <col min="9" max="9" width="8.8515625" style="33" customWidth="1"/>
    <col min="10" max="10" width="8.8515625" style="0" customWidth="1"/>
  </cols>
  <sheetData>
    <row r="1" spans="1:3" ht="12.75">
      <c r="A1" s="1" t="s">
        <v>14</v>
      </c>
      <c r="C1" t="s">
        <v>154</v>
      </c>
    </row>
    <row r="2" ht="12.75">
      <c r="A2" s="1"/>
    </row>
    <row r="3" spans="1:10" ht="11.25">
      <c r="A3" s="160" t="s">
        <v>4</v>
      </c>
      <c r="B3" s="155"/>
      <c r="C3" s="155"/>
      <c r="D3" s="155"/>
      <c r="E3" s="155"/>
      <c r="F3" s="156"/>
      <c r="G3" s="80" t="s">
        <v>34</v>
      </c>
      <c r="I3" s="80" t="s">
        <v>130</v>
      </c>
      <c r="J3" s="86" t="s">
        <v>133</v>
      </c>
    </row>
    <row r="4" spans="1:10" ht="11.25">
      <c r="A4" s="155"/>
      <c r="B4" s="155"/>
      <c r="C4" s="155"/>
      <c r="D4" s="155"/>
      <c r="E4" s="155"/>
      <c r="F4" s="156"/>
      <c r="G4" s="81" t="s">
        <v>96</v>
      </c>
      <c r="I4" s="81" t="s">
        <v>131</v>
      </c>
      <c r="J4" s="66" t="s">
        <v>134</v>
      </c>
    </row>
    <row r="5" spans="1:10" ht="11.25">
      <c r="A5" s="155"/>
      <c r="B5" s="155"/>
      <c r="C5" s="155"/>
      <c r="D5" s="155"/>
      <c r="E5" s="155"/>
      <c r="F5" s="156"/>
      <c r="G5" s="81" t="s">
        <v>97</v>
      </c>
      <c r="I5" s="81" t="s">
        <v>132</v>
      </c>
      <c r="J5" s="66" t="s">
        <v>135</v>
      </c>
    </row>
    <row r="6" spans="1:10" ht="11.25">
      <c r="A6" s="155"/>
      <c r="B6" s="155"/>
      <c r="C6" s="155"/>
      <c r="D6" s="155"/>
      <c r="E6" s="155"/>
      <c r="F6" s="156"/>
      <c r="G6" s="81" t="s">
        <v>143</v>
      </c>
      <c r="I6" s="82" t="s">
        <v>142</v>
      </c>
      <c r="J6" s="87" t="s">
        <v>136</v>
      </c>
    </row>
    <row r="7" spans="7:8" ht="11.25">
      <c r="G7" s="96" t="s">
        <v>144</v>
      </c>
      <c r="H7" s="13"/>
    </row>
    <row r="8" spans="7:32" ht="11.25">
      <c r="G8" s="95"/>
      <c r="H8" s="13"/>
      <c r="I8" s="93">
        <v>2007</v>
      </c>
      <c r="J8" s="94">
        <f>Summary!J65</f>
        <v>2008</v>
      </c>
      <c r="K8" s="13">
        <f aca="true" t="shared" si="0" ref="K8:AF8">J8+1</f>
        <v>2009</v>
      </c>
      <c r="L8" s="13">
        <f t="shared" si="0"/>
        <v>2010</v>
      </c>
      <c r="M8" s="13">
        <f t="shared" si="0"/>
        <v>2011</v>
      </c>
      <c r="N8" s="13">
        <f t="shared" si="0"/>
        <v>2012</v>
      </c>
      <c r="O8" s="13">
        <f t="shared" si="0"/>
        <v>2013</v>
      </c>
      <c r="P8" s="13">
        <f t="shared" si="0"/>
        <v>2014</v>
      </c>
      <c r="Q8" s="13">
        <f t="shared" si="0"/>
        <v>2015</v>
      </c>
      <c r="R8" s="13">
        <f t="shared" si="0"/>
        <v>2016</v>
      </c>
      <c r="S8" s="13">
        <f t="shared" si="0"/>
        <v>2017</v>
      </c>
      <c r="T8" s="13">
        <f t="shared" si="0"/>
        <v>2018</v>
      </c>
      <c r="U8" s="13">
        <f t="shared" si="0"/>
        <v>2019</v>
      </c>
      <c r="V8" s="13">
        <f t="shared" si="0"/>
        <v>2020</v>
      </c>
      <c r="W8" s="13">
        <f t="shared" si="0"/>
        <v>2021</v>
      </c>
      <c r="X8" s="13">
        <f t="shared" si="0"/>
        <v>2022</v>
      </c>
      <c r="Y8" s="13">
        <f t="shared" si="0"/>
        <v>2023</v>
      </c>
      <c r="Z8" s="13">
        <f t="shared" si="0"/>
        <v>2024</v>
      </c>
      <c r="AA8" s="13">
        <f t="shared" si="0"/>
        <v>2025</v>
      </c>
      <c r="AB8" s="13">
        <f t="shared" si="0"/>
        <v>2026</v>
      </c>
      <c r="AC8" s="13">
        <f t="shared" si="0"/>
        <v>2027</v>
      </c>
      <c r="AD8" s="13">
        <f t="shared" si="0"/>
        <v>2028</v>
      </c>
      <c r="AE8" s="13">
        <f t="shared" si="0"/>
        <v>2029</v>
      </c>
      <c r="AF8" s="13">
        <f t="shared" si="0"/>
        <v>2030</v>
      </c>
    </row>
    <row r="9" ht="12">
      <c r="A9" s="97" t="s">
        <v>145</v>
      </c>
    </row>
    <row r="10" ht="11.25">
      <c r="A10" s="98" t="s">
        <v>146</v>
      </c>
    </row>
    <row r="12" spans="1:7" ht="11.25">
      <c r="A12" s="97" t="s">
        <v>269</v>
      </c>
      <c r="G12" s="92">
        <f>MAX(Summary!H53,0.001)</f>
        <v>10</v>
      </c>
    </row>
    <row r="13" spans="1:7" ht="11.25">
      <c r="A13" s="3" t="s">
        <v>301</v>
      </c>
      <c r="G13" s="92"/>
    </row>
    <row r="14" spans="1:32" ht="11.25">
      <c r="A14" t="s">
        <v>129</v>
      </c>
      <c r="G14" s="2"/>
      <c r="I14" s="68" t="s">
        <v>141</v>
      </c>
      <c r="J14" s="62" t="str">
        <f aca="true" t="shared" si="1" ref="J14:AF14">IF(J$8&gt;=$I$8,"YES","NO")</f>
        <v>YES</v>
      </c>
      <c r="K14" s="62" t="str">
        <f t="shared" si="1"/>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2" t="s">
        <v>141</v>
      </c>
      <c r="J15" s="62" t="str">
        <f>IF(J$8&gt;Summary!$H62,"YES","NO")</f>
        <v>NO</v>
      </c>
      <c r="K15" s="62" t="str">
        <f>IF(K$8&gt;Summary!$H62,"YES","NO")</f>
        <v>NO</v>
      </c>
      <c r="L15" s="62" t="str">
        <f>IF(L$8&gt;Summary!$H62,"YES","NO")</f>
        <v>NO</v>
      </c>
      <c r="M15" s="62" t="str">
        <f>IF(M$8&gt;Summary!$H62,"YES","NO")</f>
        <v>NO</v>
      </c>
      <c r="N15" s="62" t="str">
        <f>IF(N$8&gt;Summary!$H62,"YES","NO")</f>
        <v>NO</v>
      </c>
      <c r="O15" s="62" t="str">
        <f>IF(O$8&gt;Summary!$H62,"YES","NO")</f>
        <v>NO</v>
      </c>
      <c r="P15" s="62" t="str">
        <f>IF(P$8&gt;Summary!$H62,"YES","NO")</f>
        <v>NO</v>
      </c>
      <c r="Q15" s="62" t="str">
        <f>IF(Q$8&gt;Summary!$H62,"YES","NO")</f>
        <v>NO</v>
      </c>
      <c r="R15" s="62" t="str">
        <f>IF(R$8&gt;Summary!$H62,"YES","NO")</f>
        <v>NO</v>
      </c>
      <c r="S15" s="62" t="str">
        <f>IF(S$8&gt;Summary!$H62,"YES","NO")</f>
        <v>NO</v>
      </c>
      <c r="T15" s="62" t="str">
        <f>IF(T$8&gt;Summary!$H62,"YES","NO")</f>
        <v>NO</v>
      </c>
      <c r="U15" s="62" t="str">
        <f>IF(U$8&gt;Summary!$H62,"YES","NO")</f>
        <v>NO</v>
      </c>
      <c r="V15" s="62" t="str">
        <f>IF(V$8&gt;Summary!$H62,"YES","NO")</f>
        <v>NO</v>
      </c>
      <c r="W15" s="62" t="str">
        <f>IF(W$8&gt;Summary!$H62,"YES","NO")</f>
        <v>NO</v>
      </c>
      <c r="X15" s="62" t="str">
        <f>IF(X$8&gt;Summary!$H62,"YES","NO")</f>
        <v>NO</v>
      </c>
      <c r="Y15" s="62" t="str">
        <f>IF(Y$8&gt;Summary!$H62,"YES","NO")</f>
        <v>NO</v>
      </c>
      <c r="Z15" s="62" t="str">
        <f>IF(Z$8&gt;Summary!$H62,"YES","NO")</f>
        <v>NO</v>
      </c>
      <c r="AA15" s="62" t="str">
        <f>IF(AA$8&gt;Summary!$H62,"YES","NO")</f>
        <v>NO</v>
      </c>
      <c r="AB15" s="62" t="str">
        <f>IF(AB$8&gt;Summary!$H62,"YES","NO")</f>
        <v>NO</v>
      </c>
      <c r="AC15" s="62" t="str">
        <f>IF(AC$8&gt;Summary!$H62,"YES","NO")</f>
        <v>NO</v>
      </c>
      <c r="AD15" s="62" t="str">
        <f>IF(AD$8&gt;Summary!$H62,"YES","NO")</f>
        <v>NO</v>
      </c>
      <c r="AE15" s="62" t="str">
        <f>IF(AE$8&gt;Summary!$H62,"YES","NO")</f>
        <v>NO</v>
      </c>
      <c r="AF15" s="62" t="str">
        <f>IF(AF$8&gt;Summary!$H62,"YES","NO")</f>
        <v>NO</v>
      </c>
    </row>
    <row r="16" spans="1:32" ht="11.25">
      <c r="A16" t="s">
        <v>137</v>
      </c>
      <c r="I16" s="33">
        <f>IF(I14="NO",0,(IF(I14="YES",H16+1,3)))</f>
        <v>0</v>
      </c>
      <c r="J16">
        <f aca="true" t="shared" si="2" ref="J16:W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aca="true" t="shared" si="3" ref="X16:AF16">IF(X14="NO",0,(IF(AND(X14="YES",X15="NO"),W16+1,W16)))</f>
        <v>15</v>
      </c>
      <c r="Y16">
        <f t="shared" si="3"/>
        <v>16</v>
      </c>
      <c r="Z16">
        <f t="shared" si="3"/>
        <v>17</v>
      </c>
      <c r="AA16">
        <f t="shared" si="3"/>
        <v>18</v>
      </c>
      <c r="AB16">
        <f t="shared" si="3"/>
        <v>19</v>
      </c>
      <c r="AC16">
        <f t="shared" si="3"/>
        <v>20</v>
      </c>
      <c r="AD16">
        <f t="shared" si="3"/>
        <v>21</v>
      </c>
      <c r="AE16">
        <f t="shared" si="3"/>
        <v>22</v>
      </c>
      <c r="AF16">
        <f t="shared" si="3"/>
        <v>23</v>
      </c>
    </row>
    <row r="17" spans="1:32" s="111" customFormat="1" ht="11.25">
      <c r="A17" s="111" t="s">
        <v>22</v>
      </c>
      <c r="G17" s="119"/>
      <c r="I17" s="113">
        <f>I16*$G$12</f>
        <v>0</v>
      </c>
      <c r="J17" s="143">
        <f aca="true" t="shared" si="4" ref="J17:AF17">J16*$G$12*$G$19/2000</f>
        <v>11.025</v>
      </c>
      <c r="K17" s="143">
        <f t="shared" si="4"/>
        <v>22.05</v>
      </c>
      <c r="L17" s="143">
        <f t="shared" si="4"/>
        <v>33.075</v>
      </c>
      <c r="M17" s="143">
        <f t="shared" si="4"/>
        <v>44.1</v>
      </c>
      <c r="N17" s="143">
        <f t="shared" si="4"/>
        <v>55.125</v>
      </c>
      <c r="O17" s="143">
        <f t="shared" si="4"/>
        <v>66.15</v>
      </c>
      <c r="P17" s="143">
        <f t="shared" si="4"/>
        <v>77.175</v>
      </c>
      <c r="Q17" s="143">
        <f t="shared" si="4"/>
        <v>88.2</v>
      </c>
      <c r="R17" s="143">
        <f t="shared" si="4"/>
        <v>99.225</v>
      </c>
      <c r="S17" s="143">
        <f t="shared" si="4"/>
        <v>110.25</v>
      </c>
      <c r="T17" s="143">
        <f t="shared" si="4"/>
        <v>121.275</v>
      </c>
      <c r="U17" s="143">
        <f t="shared" si="4"/>
        <v>132.3</v>
      </c>
      <c r="V17" s="143">
        <f t="shared" si="4"/>
        <v>143.325</v>
      </c>
      <c r="W17" s="143">
        <f t="shared" si="4"/>
        <v>154.35</v>
      </c>
      <c r="X17" s="143">
        <f t="shared" si="4"/>
        <v>165.375</v>
      </c>
      <c r="Y17" s="143">
        <f t="shared" si="4"/>
        <v>176.4</v>
      </c>
      <c r="Z17" s="143">
        <f t="shared" si="4"/>
        <v>187.425</v>
      </c>
      <c r="AA17" s="143">
        <f t="shared" si="4"/>
        <v>198.45</v>
      </c>
      <c r="AB17" s="143">
        <f t="shared" si="4"/>
        <v>209.475</v>
      </c>
      <c r="AC17" s="143">
        <f t="shared" si="4"/>
        <v>220.5</v>
      </c>
      <c r="AD17" s="143">
        <f t="shared" si="4"/>
        <v>231.525</v>
      </c>
      <c r="AE17" s="143">
        <f t="shared" si="4"/>
        <v>242.55</v>
      </c>
      <c r="AF17" s="143">
        <f t="shared" si="4"/>
        <v>253.575</v>
      </c>
    </row>
    <row r="18" spans="1:8" ht="11.25">
      <c r="A18" t="s">
        <v>42</v>
      </c>
      <c r="G18" s="23">
        <f>44/12</f>
        <v>3.6666666666666665</v>
      </c>
      <c r="H18" s="39"/>
    </row>
    <row r="19" spans="1:7" ht="11.25">
      <c r="A19" t="s">
        <v>35</v>
      </c>
      <c r="G19" s="20">
        <v>2205</v>
      </c>
    </row>
    <row r="21" spans="1:7" ht="12.75">
      <c r="A21" t="s">
        <v>64</v>
      </c>
      <c r="G21">
        <v>35</v>
      </c>
    </row>
    <row r="22" ht="11.25">
      <c r="A22" s="34" t="s">
        <v>61</v>
      </c>
    </row>
    <row r="23" spans="1:7" ht="12.75">
      <c r="A23" t="s">
        <v>65</v>
      </c>
      <c r="G23" s="4">
        <f>G21*G18</f>
        <v>128.33333333333331</v>
      </c>
    </row>
    <row r="24" spans="1:32" ht="12">
      <c r="A24" s="9"/>
      <c r="G24" s="23"/>
      <c r="H24" s="35"/>
      <c r="J24" s="24"/>
      <c r="K24" s="7"/>
      <c r="L24" s="7"/>
      <c r="M24" s="7"/>
      <c r="N24" s="7"/>
      <c r="O24" s="7"/>
      <c r="P24" s="7"/>
      <c r="Q24" s="7"/>
      <c r="R24" s="7"/>
      <c r="S24" s="7"/>
      <c r="T24" s="7"/>
      <c r="U24" s="7"/>
      <c r="V24" s="7"/>
      <c r="W24" s="7"/>
      <c r="X24" s="7"/>
      <c r="Y24" s="7"/>
      <c r="Z24" s="7"/>
      <c r="AA24" s="7"/>
      <c r="AB24" s="7"/>
      <c r="AC24" s="7"/>
      <c r="AD24" s="7"/>
      <c r="AE24" s="7"/>
      <c r="AF24" s="7"/>
    </row>
    <row r="25" spans="1:7" ht="11.25">
      <c r="A25" t="s">
        <v>62</v>
      </c>
      <c r="G25" s="123">
        <f>Emissions!G18</f>
        <v>2023.3</v>
      </c>
    </row>
    <row r="26" spans="1:7" ht="11.25">
      <c r="A26" s="3" t="s">
        <v>16</v>
      </c>
      <c r="G26" s="8"/>
    </row>
    <row r="27" spans="1:7" ht="11.25">
      <c r="A27" t="s">
        <v>66</v>
      </c>
      <c r="G27" s="123">
        <f>G25*G19/1000</f>
        <v>4461.3765</v>
      </c>
    </row>
    <row r="28" spans="1:7" ht="11.25">
      <c r="A28" s="3"/>
      <c r="G28" s="8"/>
    </row>
    <row r="29" spans="1:7" ht="11.25">
      <c r="A29" t="s">
        <v>63</v>
      </c>
      <c r="G29" s="40">
        <f>G27/G23*1000</f>
        <v>34763.97272727274</v>
      </c>
    </row>
    <row r="30" spans="1:7" ht="11.25">
      <c r="A30" s="146"/>
      <c r="B30" s="146"/>
      <c r="C30" s="146"/>
      <c r="D30" s="146"/>
      <c r="G30" s="40"/>
    </row>
    <row r="31" spans="1:7" ht="12">
      <c r="A31" s="147" t="s">
        <v>256</v>
      </c>
      <c r="B31" s="145"/>
      <c r="C31" s="145"/>
      <c r="D31" s="146"/>
      <c r="G31" s="40"/>
    </row>
    <row r="32" spans="1:7" ht="12">
      <c r="A32" s="147" t="s">
        <v>256</v>
      </c>
      <c r="B32" s="145"/>
      <c r="C32" s="145"/>
      <c r="D32" s="146"/>
      <c r="G32" s="40"/>
    </row>
    <row r="33" spans="1:7" ht="12">
      <c r="A33" s="147" t="s">
        <v>256</v>
      </c>
      <c r="B33" s="145"/>
      <c r="C33" s="145"/>
      <c r="D33" s="146"/>
      <c r="G33" s="40"/>
    </row>
    <row r="34" spans="1:7" ht="12">
      <c r="A34" s="147" t="s">
        <v>256</v>
      </c>
      <c r="B34" s="145"/>
      <c r="C34" s="145"/>
      <c r="D34" s="146"/>
      <c r="G34" s="40"/>
    </row>
    <row r="35" spans="1:4" ht="11.25">
      <c r="A35" s="146"/>
      <c r="B35" s="146"/>
      <c r="C35" s="146"/>
      <c r="D35" s="146"/>
    </row>
    <row r="36" spans="1:7" ht="11.25">
      <c r="A36" s="100" t="s">
        <v>278</v>
      </c>
      <c r="G36" s="100">
        <v>0.015</v>
      </c>
    </row>
    <row r="37" spans="1:7" ht="11.25">
      <c r="A37" s="3" t="s">
        <v>123</v>
      </c>
      <c r="G37" s="5"/>
    </row>
    <row r="39" spans="1:32" ht="11.25">
      <c r="A39" t="s">
        <v>67</v>
      </c>
      <c r="I39" s="90">
        <f>G29*(1+G36)^2</f>
        <v>35814.713802954546</v>
      </c>
      <c r="J39" s="40">
        <f>G29*(1+G36)^3</f>
        <v>36351.934509998864</v>
      </c>
      <c r="K39" s="40">
        <f aca="true" t="shared" si="5" ref="K39:AF39">J39*(1+$G$36)</f>
        <v>36897.21352764884</v>
      </c>
      <c r="L39" s="40">
        <f t="shared" si="5"/>
        <v>37450.67173056357</v>
      </c>
      <c r="M39" s="40">
        <f t="shared" si="5"/>
        <v>38012.43180652202</v>
      </c>
      <c r="N39" s="40">
        <f t="shared" si="5"/>
        <v>38582.61828361985</v>
      </c>
      <c r="O39" s="40">
        <f t="shared" si="5"/>
        <v>39161.357557874144</v>
      </c>
      <c r="P39" s="40">
        <f t="shared" si="5"/>
        <v>39748.777921242254</v>
      </c>
      <c r="Q39" s="40">
        <f t="shared" si="5"/>
        <v>40345.00959006089</v>
      </c>
      <c r="R39" s="40">
        <f t="shared" si="5"/>
        <v>40950.184733911796</v>
      </c>
      <c r="S39" s="40">
        <f t="shared" si="5"/>
        <v>41564.43750492047</v>
      </c>
      <c r="T39" s="40">
        <f t="shared" si="5"/>
        <v>42187.90406749427</v>
      </c>
      <c r="U39" s="40">
        <f t="shared" si="5"/>
        <v>42820.722628506686</v>
      </c>
      <c r="V39" s="40">
        <f t="shared" si="5"/>
        <v>43463.033467934285</v>
      </c>
      <c r="W39" s="40">
        <f t="shared" si="5"/>
        <v>44114.97896995329</v>
      </c>
      <c r="X39" s="40">
        <f t="shared" si="5"/>
        <v>44776.703654502584</v>
      </c>
      <c r="Y39" s="40">
        <f t="shared" si="5"/>
        <v>45448.35420932012</v>
      </c>
      <c r="Z39" s="40">
        <f t="shared" si="5"/>
        <v>46130.07952245991</v>
      </c>
      <c r="AA39" s="40">
        <f t="shared" si="5"/>
        <v>46822.03071529681</v>
      </c>
      <c r="AB39" s="40">
        <f t="shared" si="5"/>
        <v>47524.36117602626</v>
      </c>
      <c r="AC39" s="40">
        <f t="shared" si="5"/>
        <v>48237.226593666644</v>
      </c>
      <c r="AD39" s="40">
        <f t="shared" si="5"/>
        <v>48960.78499257164</v>
      </c>
      <c r="AE39" s="40">
        <f t="shared" si="5"/>
        <v>49695.196767460206</v>
      </c>
      <c r="AF39" s="40">
        <f t="shared" si="5"/>
        <v>50440.6247189721</v>
      </c>
    </row>
    <row r="40" spans="1:7" ht="11.25">
      <c r="A40" s="3" t="s">
        <v>123</v>
      </c>
      <c r="G40" s="5"/>
    </row>
    <row r="42" spans="1:33" ht="12">
      <c r="A42" t="s">
        <v>40</v>
      </c>
      <c r="G42" s="19"/>
      <c r="I42" s="131">
        <f aca="true" t="shared" si="6" ref="I42:AF42">I39*$G$23/$G$19</f>
        <v>2084.4542424999995</v>
      </c>
      <c r="J42" s="19">
        <f t="shared" si="6"/>
        <v>2115.7210561374995</v>
      </c>
      <c r="K42" s="19">
        <f t="shared" si="6"/>
        <v>2147.456871979562</v>
      </c>
      <c r="L42" s="19">
        <f t="shared" si="6"/>
        <v>2179.668725059255</v>
      </c>
      <c r="M42" s="19">
        <f t="shared" si="6"/>
        <v>2212.3637559351437</v>
      </c>
      <c r="N42" s="19">
        <f t="shared" si="6"/>
        <v>2245.5492122741707</v>
      </c>
      <c r="O42" s="19">
        <f t="shared" si="6"/>
        <v>2279.2324504582834</v>
      </c>
      <c r="P42" s="19">
        <f t="shared" si="6"/>
        <v>2313.420937215157</v>
      </c>
      <c r="Q42" s="19">
        <f t="shared" si="6"/>
        <v>2348.122251273385</v>
      </c>
      <c r="R42" s="19">
        <f t="shared" si="6"/>
        <v>2383.3440850424854</v>
      </c>
      <c r="S42" s="19">
        <f t="shared" si="6"/>
        <v>2419.094246318122</v>
      </c>
      <c r="T42" s="19">
        <f t="shared" si="6"/>
        <v>2455.380660012894</v>
      </c>
      <c r="U42" s="19">
        <f t="shared" si="6"/>
        <v>2492.211369913087</v>
      </c>
      <c r="V42" s="19">
        <f t="shared" si="6"/>
        <v>2529.5945404617833</v>
      </c>
      <c r="W42" s="19">
        <f t="shared" si="6"/>
        <v>2567.5384585687098</v>
      </c>
      <c r="X42" s="19">
        <f t="shared" si="6"/>
        <v>2606.05153544724</v>
      </c>
      <c r="Y42" s="19">
        <f t="shared" si="6"/>
        <v>2645.142308478948</v>
      </c>
      <c r="Z42" s="19">
        <f t="shared" si="6"/>
        <v>2684.8194431061324</v>
      </c>
      <c r="AA42" s="19">
        <f t="shared" si="6"/>
        <v>2725.091734752724</v>
      </c>
      <c r="AB42" s="19">
        <f t="shared" si="6"/>
        <v>2765.9681107740143</v>
      </c>
      <c r="AC42" s="19">
        <f t="shared" si="6"/>
        <v>2807.4576324356244</v>
      </c>
      <c r="AD42" s="19">
        <f t="shared" si="6"/>
        <v>2849.569496922158</v>
      </c>
      <c r="AE42" s="19">
        <f t="shared" si="6"/>
        <v>2892.3130393759902</v>
      </c>
      <c r="AF42" s="19">
        <f t="shared" si="6"/>
        <v>2935.69773496663</v>
      </c>
      <c r="AG42" s="19"/>
    </row>
    <row r="44" spans="1:7" ht="11.25">
      <c r="A44" s="99" t="s">
        <v>272</v>
      </c>
      <c r="G44" s="100">
        <v>0.01</v>
      </c>
    </row>
    <row r="45" spans="1:7" ht="11.25">
      <c r="A45" s="3" t="s">
        <v>124</v>
      </c>
      <c r="G45" s="5"/>
    </row>
    <row r="46" spans="1:7" ht="11.25">
      <c r="A46" t="s">
        <v>103</v>
      </c>
      <c r="G46" s="17">
        <f>G44*Summary!H53/10</f>
        <v>0.01</v>
      </c>
    </row>
    <row r="47" ht="11.25">
      <c r="G47" s="60"/>
    </row>
    <row r="48" spans="1:33" ht="11.25">
      <c r="A48" t="s">
        <v>69</v>
      </c>
      <c r="E48" s="39"/>
      <c r="F48" s="37"/>
      <c r="H48" s="46">
        <f>G12/(2000/G23)</f>
        <v>0.6416666666666666</v>
      </c>
      <c r="J48" s="36">
        <f aca="true" t="shared" si="7" ref="J48:AF48">J52*$G$12*J16/(2000)</f>
        <v>0.6345959281822461</v>
      </c>
      <c r="K48" s="36">
        <f t="shared" si="7"/>
        <v>1.2552062090352822</v>
      </c>
      <c r="L48" s="36">
        <f t="shared" si="7"/>
        <v>1.8620620113105897</v>
      </c>
      <c r="M48" s="36">
        <f t="shared" si="7"/>
        <v>2.4553911073258052</v>
      </c>
      <c r="N48" s="36">
        <f t="shared" si="7"/>
        <v>3.035417919747765</v>
      </c>
      <c r="O48" s="36">
        <f t="shared" si="7"/>
        <v>3.6023635677569237</v>
      </c>
      <c r="P48" s="36">
        <f t="shared" si="7"/>
        <v>4.156445912601114</v>
      </c>
      <c r="Q48" s="36">
        <f t="shared" si="7"/>
        <v>4.697879602546476</v>
      </c>
      <c r="R48" s="36">
        <f t="shared" si="7"/>
        <v>5.226876117233338</v>
      </c>
      <c r="S48" s="36">
        <f t="shared" si="7"/>
        <v>5.743643811444684</v>
      </c>
      <c r="T48" s="36">
        <f t="shared" si="7"/>
        <v>6.248387958294777</v>
      </c>
      <c r="U48" s="36">
        <f t="shared" si="7"/>
        <v>6.741310791845402</v>
      </c>
      <c r="V48" s="36">
        <f t="shared" si="7"/>
        <v>7.222611549157095</v>
      </c>
      <c r="W48" s="36">
        <f t="shared" si="7"/>
        <v>7.692486511782641</v>
      </c>
      <c r="X48" s="36">
        <f t="shared" si="7"/>
        <v>8.151129046710022</v>
      </c>
      <c r="Y48" s="36">
        <f t="shared" si="7"/>
        <v>8.598729646761912</v>
      </c>
      <c r="Z48" s="36">
        <f t="shared" si="7"/>
        <v>9.035475970458725</v>
      </c>
      <c r="AA48" s="36">
        <f t="shared" si="7"/>
        <v>9.461552881352127</v>
      </c>
      <c r="AB48" s="36">
        <f t="shared" si="7"/>
        <v>9.877142486835854</v>
      </c>
      <c r="AC48" s="36">
        <f t="shared" si="7"/>
        <v>10.282424176440568</v>
      </c>
      <c r="AD48" s="36">
        <f t="shared" si="7"/>
        <v>10.677574659619424</v>
      </c>
      <c r="AE48" s="36">
        <f t="shared" si="7"/>
        <v>11.06276800303089</v>
      </c>
      <c r="AF48" s="36">
        <f t="shared" si="7"/>
        <v>11.43817566732535</v>
      </c>
      <c r="AG48" s="36"/>
    </row>
    <row r="49" spans="1:32" ht="11.25">
      <c r="A49" t="s">
        <v>70</v>
      </c>
      <c r="H49" s="36">
        <v>10</v>
      </c>
      <c r="I49" s="88"/>
      <c r="J49" s="36">
        <f aca="true" t="shared" si="8" ref="J49:AF49">$H$49+J48</f>
        <v>10.634595928182247</v>
      </c>
      <c r="K49" s="36">
        <f t="shared" si="8"/>
        <v>11.255206209035283</v>
      </c>
      <c r="L49" s="36">
        <f t="shared" si="8"/>
        <v>11.86206201131059</v>
      </c>
      <c r="M49" s="36">
        <f t="shared" si="8"/>
        <v>12.455391107325806</v>
      </c>
      <c r="N49" s="36">
        <f t="shared" si="8"/>
        <v>13.035417919747765</v>
      </c>
      <c r="O49" s="36">
        <f t="shared" si="8"/>
        <v>13.602363567756925</v>
      </c>
      <c r="P49" s="36">
        <f t="shared" si="8"/>
        <v>14.156445912601114</v>
      </c>
      <c r="Q49" s="36">
        <f t="shared" si="8"/>
        <v>14.697879602546475</v>
      </c>
      <c r="R49" s="36">
        <f t="shared" si="8"/>
        <v>15.226876117233338</v>
      </c>
      <c r="S49" s="36">
        <f t="shared" si="8"/>
        <v>15.743643811444684</v>
      </c>
      <c r="T49" s="36">
        <f t="shared" si="8"/>
        <v>16.248387958294778</v>
      </c>
      <c r="U49" s="36">
        <f t="shared" si="8"/>
        <v>16.7413107918454</v>
      </c>
      <c r="V49" s="36">
        <f t="shared" si="8"/>
        <v>17.222611549157094</v>
      </c>
      <c r="W49" s="36">
        <f t="shared" si="8"/>
        <v>17.69248651178264</v>
      </c>
      <c r="X49" s="36">
        <f t="shared" si="8"/>
        <v>18.15112904671002</v>
      </c>
      <c r="Y49" s="36">
        <f t="shared" si="8"/>
        <v>18.59872964676191</v>
      </c>
      <c r="Z49" s="36">
        <f t="shared" si="8"/>
        <v>19.035475970458727</v>
      </c>
      <c r="AA49" s="36">
        <f t="shared" si="8"/>
        <v>19.461552881352127</v>
      </c>
      <c r="AB49" s="36">
        <f t="shared" si="8"/>
        <v>19.877142486835854</v>
      </c>
      <c r="AC49" s="36">
        <f t="shared" si="8"/>
        <v>20.282424176440568</v>
      </c>
      <c r="AD49" s="36">
        <f t="shared" si="8"/>
        <v>20.677574659619424</v>
      </c>
      <c r="AE49" s="36">
        <f t="shared" si="8"/>
        <v>21.06276800303089</v>
      </c>
      <c r="AF49" s="36">
        <f t="shared" si="8"/>
        <v>21.43817566732535</v>
      </c>
    </row>
    <row r="50" ht="11.25">
      <c r="A50" s="3" t="s">
        <v>71</v>
      </c>
    </row>
    <row r="52" spans="1:32" ht="11.25">
      <c r="A52" t="s">
        <v>74</v>
      </c>
      <c r="G52" s="19">
        <f>G23</f>
        <v>128.33333333333331</v>
      </c>
      <c r="H52" s="4"/>
      <c r="I52" s="91">
        <f aca="true" t="shared" si="9" ref="I52:AF52">$G$52*(1-$G$46)^(I17/$G$12)</f>
        <v>128.33333333333331</v>
      </c>
      <c r="J52" s="8">
        <f t="shared" si="9"/>
        <v>126.91918563644921</v>
      </c>
      <c r="K52" s="8">
        <f t="shared" si="9"/>
        <v>125.52062090352823</v>
      </c>
      <c r="L52" s="8">
        <f t="shared" si="9"/>
        <v>124.13746742070599</v>
      </c>
      <c r="M52" s="8">
        <f t="shared" si="9"/>
        <v>122.76955536629026</v>
      </c>
      <c r="N52" s="8">
        <f t="shared" si="9"/>
        <v>121.41671678991058</v>
      </c>
      <c r="O52" s="8">
        <f t="shared" si="9"/>
        <v>120.07878559189747</v>
      </c>
      <c r="P52" s="8">
        <f t="shared" si="9"/>
        <v>118.75559750288899</v>
      </c>
      <c r="Q52" s="8">
        <f t="shared" si="9"/>
        <v>117.4469900636619</v>
      </c>
      <c r="R52" s="8">
        <f t="shared" si="9"/>
        <v>116.1528026051853</v>
      </c>
      <c r="S52" s="8">
        <f t="shared" si="9"/>
        <v>114.87287622889369</v>
      </c>
      <c r="T52" s="8">
        <f t="shared" si="9"/>
        <v>113.60705378717776</v>
      </c>
      <c r="U52" s="8">
        <f t="shared" si="9"/>
        <v>112.35517986409003</v>
      </c>
      <c r="V52" s="8">
        <f t="shared" si="9"/>
        <v>111.11710075626299</v>
      </c>
      <c r="W52" s="8">
        <f t="shared" si="9"/>
        <v>109.89266445403773</v>
      </c>
      <c r="X52" s="8">
        <f t="shared" si="9"/>
        <v>108.6817206228003</v>
      </c>
      <c r="Y52" s="8">
        <f t="shared" si="9"/>
        <v>107.48412058452391</v>
      </c>
      <c r="Z52" s="8">
        <f t="shared" si="9"/>
        <v>106.29971729951441</v>
      </c>
      <c r="AA52" s="8">
        <f t="shared" si="9"/>
        <v>105.12836534835697</v>
      </c>
      <c r="AB52" s="8">
        <f t="shared" si="9"/>
        <v>103.96992091406162</v>
      </c>
      <c r="AC52" s="8">
        <f t="shared" si="9"/>
        <v>102.82424176440567</v>
      </c>
      <c r="AD52" s="8">
        <f t="shared" si="9"/>
        <v>101.6911872344707</v>
      </c>
      <c r="AE52" s="8">
        <f t="shared" si="9"/>
        <v>100.57061820937172</v>
      </c>
      <c r="AF52" s="8">
        <f t="shared" si="9"/>
        <v>99.46239710717695</v>
      </c>
    </row>
    <row r="53" spans="1:8" ht="12">
      <c r="A53" s="9"/>
      <c r="B53" s="9"/>
      <c r="C53" s="9"/>
      <c r="D53" s="9"/>
      <c r="E53" s="9"/>
      <c r="F53" s="9"/>
      <c r="H53" s="38"/>
    </row>
    <row r="54" spans="1:33" s="9" customFormat="1" ht="12">
      <c r="A54" s="45" t="s">
        <v>100</v>
      </c>
      <c r="G54" s="27"/>
      <c r="I54" s="76"/>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8" ht="12">
      <c r="A55" s="9"/>
      <c r="B55" s="9"/>
      <c r="C55" s="9"/>
      <c r="D55" s="9"/>
      <c r="E55" s="9"/>
      <c r="F55" s="9"/>
      <c r="H55" s="38"/>
    </row>
    <row r="56" spans="1:33" s="9" customFormat="1" ht="12">
      <c r="A56" s="9" t="s">
        <v>187</v>
      </c>
      <c r="G56" s="27"/>
      <c r="I56" s="74"/>
      <c r="J56" s="28">
        <f aca="true" t="shared" si="10" ref="J56:AF56">J124*J39</f>
        <v>111.66008698141307</v>
      </c>
      <c r="K56" s="28">
        <f t="shared" si="10"/>
        <v>330.1701394214286</v>
      </c>
      <c r="L56" s="28">
        <f t="shared" si="10"/>
        <v>650.6665493568547</v>
      </c>
      <c r="M56" s="28">
        <f t="shared" si="10"/>
        <v>1068.2499304964788</v>
      </c>
      <c r="N56" s="28">
        <f t="shared" si="10"/>
        <v>1578.0068821086297</v>
      </c>
      <c r="O56" s="28">
        <f t="shared" si="10"/>
        <v>2175.03343471567</v>
      </c>
      <c r="P56" s="28">
        <f t="shared" si="10"/>
        <v>2854.458643789759</v>
      </c>
      <c r="Q56" s="28">
        <f t="shared" si="10"/>
        <v>3611.4673450515784</v>
      </c>
      <c r="R56" s="28">
        <f t="shared" si="10"/>
        <v>4441.321449356149</v>
      </c>
      <c r="S56" s="28">
        <f t="shared" si="10"/>
        <v>5339.379401923071</v>
      </c>
      <c r="T56" s="28">
        <f t="shared" si="10"/>
        <v>6190.542634130675</v>
      </c>
      <c r="U56" s="28">
        <f t="shared" si="10"/>
        <v>7001.602727565461</v>
      </c>
      <c r="V56" s="28">
        <f t="shared" si="10"/>
        <v>7778.172241587273</v>
      </c>
      <c r="W56" s="28">
        <f t="shared" si="10"/>
        <v>8477.007766332077</v>
      </c>
      <c r="X56" s="28">
        <f t="shared" si="10"/>
        <v>9104.469303324931</v>
      </c>
      <c r="Y56" s="28">
        <f t="shared" si="10"/>
        <v>9665.735284854249</v>
      </c>
      <c r="Z56" s="28">
        <f t="shared" si="10"/>
        <v>10165.008110059682</v>
      </c>
      <c r="AA56" s="28">
        <f t="shared" si="10"/>
        <v>10605.674494849185</v>
      </c>
      <c r="AB56" s="28">
        <f t="shared" si="10"/>
        <v>10990.431721089124</v>
      </c>
      <c r="AC56" s="28">
        <f t="shared" si="10"/>
        <v>11321.387822307064</v>
      </c>
      <c r="AD56" s="28">
        <f t="shared" si="10"/>
        <v>11600.14161514806</v>
      </c>
      <c r="AE56" s="28">
        <f t="shared" si="10"/>
        <v>11827.846976610943</v>
      </c>
      <c r="AF56" s="28">
        <f t="shared" si="10"/>
        <v>12005.264681260105</v>
      </c>
      <c r="AG56" s="28"/>
    </row>
    <row r="57" spans="1:33" s="9" customFormat="1" ht="12">
      <c r="A57" s="9" t="s">
        <v>176</v>
      </c>
      <c r="I57" s="75"/>
      <c r="J57" s="28">
        <f aca="true" t="shared" si="11" ref="J57:AF57">J39-J56</f>
        <v>36240.27442301745</v>
      </c>
      <c r="K57" s="28">
        <f t="shared" si="11"/>
        <v>36567.043388227416</v>
      </c>
      <c r="L57" s="28">
        <f t="shared" si="11"/>
        <v>36800.00518120671</v>
      </c>
      <c r="M57" s="28">
        <f t="shared" si="11"/>
        <v>36944.18187602554</v>
      </c>
      <c r="N57" s="28">
        <f t="shared" si="11"/>
        <v>37004.61140151122</v>
      </c>
      <c r="O57" s="28">
        <f t="shared" si="11"/>
        <v>36986.324123158476</v>
      </c>
      <c r="P57" s="28">
        <f t="shared" si="11"/>
        <v>36894.319277452494</v>
      </c>
      <c r="Q57" s="28">
        <f t="shared" si="11"/>
        <v>36733.54224500931</v>
      </c>
      <c r="R57" s="28">
        <f t="shared" si="11"/>
        <v>36508.86328455565</v>
      </c>
      <c r="S57" s="28">
        <f t="shared" si="11"/>
        <v>36225.0581029974</v>
      </c>
      <c r="T57" s="28">
        <f t="shared" si="11"/>
        <v>35997.3614333636</v>
      </c>
      <c r="U57" s="28">
        <f t="shared" si="11"/>
        <v>35819.11990094122</v>
      </c>
      <c r="V57" s="28">
        <f t="shared" si="11"/>
        <v>35684.86122634701</v>
      </c>
      <c r="W57" s="28">
        <f t="shared" si="11"/>
        <v>35637.971203621215</v>
      </c>
      <c r="X57" s="28">
        <f t="shared" si="11"/>
        <v>35672.234351177656</v>
      </c>
      <c r="Y57" s="28">
        <f t="shared" si="11"/>
        <v>35782.61892446587</v>
      </c>
      <c r="Z57" s="28">
        <f t="shared" si="11"/>
        <v>35965.07141240023</v>
      </c>
      <c r="AA57" s="28">
        <f t="shared" si="11"/>
        <v>36216.356220447626</v>
      </c>
      <c r="AB57" s="28">
        <f t="shared" si="11"/>
        <v>36533.92945493713</v>
      </c>
      <c r="AC57" s="28">
        <f t="shared" si="11"/>
        <v>36915.83877135958</v>
      </c>
      <c r="AD57" s="28">
        <f t="shared" si="11"/>
        <v>37360.64337742358</v>
      </c>
      <c r="AE57" s="28">
        <f t="shared" si="11"/>
        <v>37867.349790849265</v>
      </c>
      <c r="AF57" s="28">
        <f t="shared" si="11"/>
        <v>38435.360037712</v>
      </c>
      <c r="AG57" s="28"/>
    </row>
    <row r="58" spans="1:32" s="9" customFormat="1" ht="12">
      <c r="A58" s="9" t="s">
        <v>41</v>
      </c>
      <c r="G58" s="27"/>
      <c r="I58" s="76"/>
      <c r="J58" s="29">
        <f aca="true" t="shared" si="12" ref="J58:AF58">J57*J52/$G$19</f>
        <v>2085.9800984176027</v>
      </c>
      <c r="K58" s="29">
        <f t="shared" si="12"/>
        <v>2081.595460633361</v>
      </c>
      <c r="L58" s="29">
        <f t="shared" si="12"/>
        <v>2071.772990595855</v>
      </c>
      <c r="M58" s="29">
        <f t="shared" si="12"/>
        <v>2056.9708763224558</v>
      </c>
      <c r="N58" s="29">
        <f t="shared" si="12"/>
        <v>2037.6319376226684</v>
      </c>
      <c r="O58" s="29">
        <f t="shared" si="12"/>
        <v>2014.1827139306902</v>
      </c>
      <c r="P58" s="29">
        <f t="shared" si="12"/>
        <v>1987.032621431395</v>
      </c>
      <c r="Q58" s="29">
        <f t="shared" si="12"/>
        <v>1956.573229502364</v>
      </c>
      <c r="R58" s="29">
        <f t="shared" si="12"/>
        <v>1923.1776827350066</v>
      </c>
      <c r="S58" s="29">
        <f t="shared" si="12"/>
        <v>1887.2002792970986</v>
      </c>
      <c r="T58" s="29">
        <f t="shared" si="12"/>
        <v>1854.673095944044</v>
      </c>
      <c r="U58" s="29">
        <f t="shared" si="12"/>
        <v>1825.153586867872</v>
      </c>
      <c r="V58" s="29">
        <f t="shared" si="12"/>
        <v>1798.2758822500061</v>
      </c>
      <c r="W58" s="29">
        <f t="shared" si="12"/>
        <v>1776.1231797288913</v>
      </c>
      <c r="X58" s="29">
        <f t="shared" si="12"/>
        <v>1758.2402756216554</v>
      </c>
      <c r="Y58" s="29">
        <f t="shared" si="12"/>
        <v>1744.246406942112</v>
      </c>
      <c r="Z58" s="29">
        <f t="shared" si="12"/>
        <v>1733.8217341473887</v>
      </c>
      <c r="AA58" s="29">
        <f t="shared" si="12"/>
        <v>1726.6967475417046</v>
      </c>
      <c r="AB58" s="29">
        <f t="shared" si="12"/>
        <v>1722.6438803218684</v>
      </c>
      <c r="AC58" s="29">
        <f t="shared" si="12"/>
        <v>1721.4708076018585</v>
      </c>
      <c r="AD58" s="29">
        <f t="shared" si="12"/>
        <v>1723.0150480244304</v>
      </c>
      <c r="AE58" s="29">
        <f t="shared" si="12"/>
        <v>1727.1395820481782</v>
      </c>
      <c r="AF58" s="29">
        <f t="shared" si="12"/>
        <v>1733.729271214617</v>
      </c>
    </row>
    <row r="59" spans="1:32" s="9" customFormat="1" ht="12">
      <c r="A59" s="9" t="s">
        <v>45</v>
      </c>
      <c r="G59" s="27"/>
      <c r="I59" s="76"/>
      <c r="J59" s="29">
        <f aca="true" t="shared" si="13" ref="J59:AF59">J42-J58</f>
        <v>29.74095771989687</v>
      </c>
      <c r="K59" s="29">
        <f t="shared" si="13"/>
        <v>65.86141134620084</v>
      </c>
      <c r="L59" s="29">
        <f t="shared" si="13"/>
        <v>107.8957344634</v>
      </c>
      <c r="M59" s="29">
        <f t="shared" si="13"/>
        <v>155.39287961268792</v>
      </c>
      <c r="N59" s="29">
        <f t="shared" si="13"/>
        <v>207.91727465150234</v>
      </c>
      <c r="O59" s="29">
        <f t="shared" si="13"/>
        <v>265.04973652759327</v>
      </c>
      <c r="P59" s="29">
        <f t="shared" si="13"/>
        <v>326.3883157837622</v>
      </c>
      <c r="Q59" s="29">
        <f t="shared" si="13"/>
        <v>391.54902177102076</v>
      </c>
      <c r="R59" s="29">
        <f t="shared" si="13"/>
        <v>460.16640230747885</v>
      </c>
      <c r="S59" s="29">
        <f t="shared" si="13"/>
        <v>531.8939670210232</v>
      </c>
      <c r="T59" s="29">
        <f t="shared" si="13"/>
        <v>600.7075640688502</v>
      </c>
      <c r="U59" s="29">
        <f t="shared" si="13"/>
        <v>667.0577830452148</v>
      </c>
      <c r="V59" s="29">
        <f t="shared" si="13"/>
        <v>731.3186582117771</v>
      </c>
      <c r="W59" s="29">
        <f t="shared" si="13"/>
        <v>791.4152788398185</v>
      </c>
      <c r="X59" s="29">
        <f t="shared" si="13"/>
        <v>847.8112598255846</v>
      </c>
      <c r="Y59" s="29">
        <f t="shared" si="13"/>
        <v>900.8959015368362</v>
      </c>
      <c r="Z59" s="29">
        <f t="shared" si="13"/>
        <v>950.9977089587437</v>
      </c>
      <c r="AA59" s="29">
        <f t="shared" si="13"/>
        <v>998.3949872110193</v>
      </c>
      <c r="AB59" s="29">
        <f t="shared" si="13"/>
        <v>1043.324230452146</v>
      </c>
      <c r="AC59" s="29">
        <f t="shared" si="13"/>
        <v>1085.986824833766</v>
      </c>
      <c r="AD59" s="29">
        <f t="shared" si="13"/>
        <v>1126.5544488977278</v>
      </c>
      <c r="AE59" s="29">
        <f t="shared" si="13"/>
        <v>1165.173457327812</v>
      </c>
      <c r="AF59" s="29">
        <f t="shared" si="13"/>
        <v>1201.968463752013</v>
      </c>
    </row>
    <row r="60" spans="1:32" s="9" customFormat="1" ht="12">
      <c r="A60" s="9" t="s">
        <v>216</v>
      </c>
      <c r="G60" s="27"/>
      <c r="I60" s="76"/>
      <c r="J60" s="29">
        <f aca="true" t="shared" si="14" ref="J60:AF60">$J$42-J58</f>
        <v>29.74095771989687</v>
      </c>
      <c r="K60" s="29">
        <f t="shared" si="14"/>
        <v>34.125595504138346</v>
      </c>
      <c r="L60" s="29">
        <f t="shared" si="14"/>
        <v>43.94806554164461</v>
      </c>
      <c r="M60" s="29">
        <f t="shared" si="14"/>
        <v>58.75017981504379</v>
      </c>
      <c r="N60" s="29">
        <f t="shared" si="14"/>
        <v>78.08911851483117</v>
      </c>
      <c r="O60" s="29">
        <f t="shared" si="14"/>
        <v>101.53834220680938</v>
      </c>
      <c r="P60" s="29">
        <f t="shared" si="14"/>
        <v>128.68843470610454</v>
      </c>
      <c r="Q60" s="29">
        <f t="shared" si="14"/>
        <v>159.14782663513552</v>
      </c>
      <c r="R60" s="29">
        <f t="shared" si="14"/>
        <v>192.543373402493</v>
      </c>
      <c r="S60" s="29">
        <f t="shared" si="14"/>
        <v>228.5207768404009</v>
      </c>
      <c r="T60" s="29">
        <f t="shared" si="14"/>
        <v>261.04796019345554</v>
      </c>
      <c r="U60" s="29">
        <f t="shared" si="14"/>
        <v>290.5674692696275</v>
      </c>
      <c r="V60" s="29">
        <f t="shared" si="14"/>
        <v>317.4451738874934</v>
      </c>
      <c r="W60" s="29">
        <f t="shared" si="14"/>
        <v>339.5978764086083</v>
      </c>
      <c r="X60" s="29">
        <f t="shared" si="14"/>
        <v>357.4807805158441</v>
      </c>
      <c r="Y60" s="29">
        <f t="shared" si="14"/>
        <v>371.47464919538766</v>
      </c>
      <c r="Z60" s="29">
        <f t="shared" si="14"/>
        <v>381.8993219901108</v>
      </c>
      <c r="AA60" s="29">
        <f t="shared" si="14"/>
        <v>389.024308595795</v>
      </c>
      <c r="AB60" s="29">
        <f t="shared" si="14"/>
        <v>393.0771758156311</v>
      </c>
      <c r="AC60" s="29">
        <f t="shared" si="14"/>
        <v>394.25024853564105</v>
      </c>
      <c r="AD60" s="29">
        <f t="shared" si="14"/>
        <v>392.7060081130692</v>
      </c>
      <c r="AE60" s="29">
        <f t="shared" si="14"/>
        <v>388.5814740893213</v>
      </c>
      <c r="AF60" s="29">
        <f t="shared" si="14"/>
        <v>381.9917849228825</v>
      </c>
    </row>
    <row r="61" spans="1:33" s="9" customFormat="1" ht="12">
      <c r="A61" s="9" t="s">
        <v>44</v>
      </c>
      <c r="G61" s="27"/>
      <c r="I61" s="76"/>
      <c r="J61" s="51">
        <f aca="true" t="shared" si="15" ref="J61:Z61">J58*J17</f>
        <v>22997.93058505407</v>
      </c>
      <c r="K61" s="51">
        <f t="shared" si="15"/>
        <v>45899.17990696562</v>
      </c>
      <c r="L61" s="51">
        <f t="shared" si="15"/>
        <v>68523.89166395791</v>
      </c>
      <c r="M61" s="130">
        <f t="shared" si="15"/>
        <v>90712.4156458203</v>
      </c>
      <c r="N61" s="130">
        <f t="shared" si="15"/>
        <v>112324.4605614496</v>
      </c>
      <c r="O61" s="130">
        <f t="shared" si="15"/>
        <v>133238.18652651517</v>
      </c>
      <c r="P61" s="130">
        <f t="shared" si="15"/>
        <v>153349.2425589679</v>
      </c>
      <c r="Q61" s="130">
        <f t="shared" si="15"/>
        <v>172569.7588421085</v>
      </c>
      <c r="R61" s="130">
        <f t="shared" si="15"/>
        <v>190827.30556938102</v>
      </c>
      <c r="S61" s="130">
        <f t="shared" si="15"/>
        <v>208063.83079250512</v>
      </c>
      <c r="T61" s="130">
        <f t="shared" si="15"/>
        <v>224925.47971061396</v>
      </c>
      <c r="U61" s="130">
        <f t="shared" si="15"/>
        <v>241467.8195426195</v>
      </c>
      <c r="V61" s="130">
        <f t="shared" si="15"/>
        <v>257737.8908234821</v>
      </c>
      <c r="W61" s="130">
        <f t="shared" si="15"/>
        <v>274144.61279115436</v>
      </c>
      <c r="X61" s="130">
        <f t="shared" si="15"/>
        <v>290768.98558093124</v>
      </c>
      <c r="Y61" s="130">
        <f t="shared" si="15"/>
        <v>307685.06618458853</v>
      </c>
      <c r="Z61" s="130">
        <f t="shared" si="15"/>
        <v>324961.53852257435</v>
      </c>
      <c r="AA61" s="130">
        <f>AA58*$G$19*1000000*AA17/(2000*1000000)</f>
        <v>377785.9239284905</v>
      </c>
      <c r="AB61" s="130">
        <f>AB58*$G$19*1000000*AB17/(2000*1000000)</f>
        <v>397838.0365805418</v>
      </c>
      <c r="AC61" s="130">
        <f>AC58*$G$19*1000000*AC17/(2000*1000000)</f>
        <v>418491.70516652125</v>
      </c>
      <c r="AD61" s="130">
        <f>AD58*$G$19*1000000*AD17/(2000*1000000)</f>
        <v>439810.4675407266</v>
      </c>
      <c r="AE61" s="130">
        <f>AE58*$G$19*1000000*AE17/(2000*1000000)</f>
        <v>461856.77045242867</v>
      </c>
      <c r="AF61" s="130">
        <f>AF58*AF17</f>
        <v>439630.3999482465</v>
      </c>
      <c r="AG61" s="130"/>
    </row>
    <row r="62" spans="1:33" s="9" customFormat="1" ht="12">
      <c r="A62" s="45" t="s">
        <v>256</v>
      </c>
      <c r="G62" s="27"/>
      <c r="I62" s="76"/>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3" s="9" customFormat="1" ht="12">
      <c r="A63" s="45" t="s">
        <v>256</v>
      </c>
      <c r="G63" s="27"/>
      <c r="I63" s="76"/>
      <c r="J63" s="28"/>
      <c r="K63" s="28"/>
      <c r="L63" s="28"/>
      <c r="M63" s="28"/>
      <c r="N63" s="28"/>
      <c r="O63" s="28"/>
      <c r="P63" s="28"/>
      <c r="Q63" s="28"/>
      <c r="R63" s="28"/>
      <c r="S63" s="28"/>
      <c r="T63" s="28"/>
      <c r="U63" s="28"/>
      <c r="V63" s="28"/>
      <c r="W63" s="28"/>
      <c r="X63" s="28"/>
      <c r="Y63" s="28"/>
      <c r="Z63" s="28"/>
      <c r="AA63" s="28"/>
      <c r="AB63" s="28"/>
      <c r="AC63" s="28"/>
      <c r="AD63" s="28"/>
      <c r="AE63" s="28"/>
      <c r="AF63" s="28"/>
      <c r="AG63" s="28"/>
    </row>
    <row r="64" spans="7:33" s="9" customFormat="1" ht="12">
      <c r="G64" s="27"/>
      <c r="I64" s="76"/>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1:32" ht="11.25">
      <c r="A65" t="s">
        <v>72</v>
      </c>
      <c r="H65" s="42"/>
      <c r="J65" s="42">
        <f>J49/H49-1</f>
        <v>0.06345959281822466</v>
      </c>
      <c r="K65" s="42">
        <f aca="true" t="shared" si="16" ref="K65:AF65">K49/J49-1</f>
        <v>0.05835767386407098</v>
      </c>
      <c r="L65" s="42">
        <f t="shared" si="16"/>
        <v>0.05391778622306753</v>
      </c>
      <c r="M65" s="42">
        <f t="shared" si="16"/>
        <v>0.05001905195314871</v>
      </c>
      <c r="N65" s="42">
        <f t="shared" si="16"/>
        <v>0.04656833393861137</v>
      </c>
      <c r="O65" s="42">
        <f t="shared" si="16"/>
        <v>0.04349270974659558</v>
      </c>
      <c r="P65" s="42">
        <f t="shared" si="16"/>
        <v>0.040734269605731566</v>
      </c>
      <c r="Q65" s="42">
        <f t="shared" si="16"/>
        <v>0.03824644217115347</v>
      </c>
      <c r="R65" s="42">
        <f t="shared" si="16"/>
        <v>0.03599134902392387</v>
      </c>
      <c r="S65" s="42">
        <f t="shared" si="16"/>
        <v>0.033937866850212606</v>
      </c>
      <c r="T65" s="42">
        <f t="shared" si="16"/>
        <v>0.032060185868990176</v>
      </c>
      <c r="U65" s="42">
        <f t="shared" si="16"/>
        <v>0.030336722314596498</v>
      </c>
      <c r="V65" s="42">
        <f t="shared" si="16"/>
        <v>0.02874928751374317</v>
      </c>
      <c r="W65" s="42">
        <f t="shared" si="16"/>
        <v>0.027282445596849225</v>
      </c>
      <c r="X65" s="42">
        <f t="shared" si="16"/>
        <v>0.025923011704541477</v>
      </c>
      <c r="Y65" s="42">
        <f t="shared" si="16"/>
        <v>0.024659656096325255</v>
      </c>
      <c r="Z65" s="42">
        <f t="shared" si="16"/>
        <v>0.023482588972029816</v>
      </c>
      <c r="AA65" s="42">
        <f t="shared" si="16"/>
        <v>0.022383307438943456</v>
      </c>
      <c r="AB65" s="42">
        <f t="shared" si="16"/>
        <v>0.021354390783581367</v>
      </c>
      <c r="AC65" s="42">
        <f t="shared" si="16"/>
        <v>0.02038933362142581</v>
      </c>
      <c r="AD65" s="42">
        <f t="shared" si="16"/>
        <v>0.019482408993193756</v>
      </c>
      <c r="AE65" s="42">
        <f t="shared" si="16"/>
        <v>0.01862855531909635</v>
      </c>
      <c r="AF65" s="42">
        <f t="shared" si="16"/>
        <v>0.01782328249736409</v>
      </c>
    </row>
    <row r="66" spans="8:32" ht="11.25">
      <c r="H66" s="42"/>
      <c r="J66" s="42"/>
      <c r="K66" s="42"/>
      <c r="L66" s="42"/>
      <c r="M66" s="42"/>
      <c r="N66" s="42"/>
      <c r="O66" s="42"/>
      <c r="P66" s="42"/>
      <c r="Q66" s="42"/>
      <c r="R66" s="42"/>
      <c r="S66" s="42"/>
      <c r="T66" s="42"/>
      <c r="U66" s="42"/>
      <c r="V66" s="42"/>
      <c r="W66" s="42"/>
      <c r="X66" s="42"/>
      <c r="Y66" s="42"/>
      <c r="Z66" s="42"/>
      <c r="AA66" s="42"/>
      <c r="AB66" s="42"/>
      <c r="AC66" s="42"/>
      <c r="AD66" s="42"/>
      <c r="AE66" s="42"/>
      <c r="AF66" s="42"/>
    </row>
    <row r="67" spans="1:7" ht="11.25">
      <c r="A67" s="98" t="s">
        <v>54</v>
      </c>
      <c r="G67" s="99">
        <v>0.5</v>
      </c>
    </row>
    <row r="68" spans="1:9" ht="11.25">
      <c r="A68" s="160" t="s">
        <v>15</v>
      </c>
      <c r="B68" s="155"/>
      <c r="C68" s="155"/>
      <c r="D68" s="155"/>
      <c r="E68" s="155"/>
      <c r="F68" s="155"/>
      <c r="G68" s="155"/>
      <c r="H68" s="155"/>
      <c r="I68" s="156"/>
    </row>
    <row r="69" spans="1:9" ht="11.25">
      <c r="A69" s="155"/>
      <c r="B69" s="155"/>
      <c r="C69" s="155"/>
      <c r="D69" s="155"/>
      <c r="E69" s="155"/>
      <c r="F69" s="155"/>
      <c r="G69" s="155"/>
      <c r="H69" s="155"/>
      <c r="I69" s="156"/>
    </row>
    <row r="70" spans="1:7" ht="11.25">
      <c r="A70" s="3"/>
      <c r="G70" s="5"/>
    </row>
    <row r="71" spans="1:22" ht="11.25">
      <c r="A71" s="98" t="s">
        <v>47</v>
      </c>
      <c r="G71" s="98">
        <v>10</v>
      </c>
      <c r="L71" s="165" t="s">
        <v>10</v>
      </c>
      <c r="M71" s="155"/>
      <c r="N71" s="155"/>
      <c r="O71" s="155"/>
      <c r="P71" s="155"/>
      <c r="Q71" s="155"/>
      <c r="R71" s="155"/>
      <c r="S71" s="155"/>
      <c r="T71" s="155"/>
      <c r="U71" s="155"/>
      <c r="V71" s="155"/>
    </row>
    <row r="72" spans="1:22" ht="11.25">
      <c r="A72" s="3"/>
      <c r="L72" s="155"/>
      <c r="M72" s="155"/>
      <c r="N72" s="155"/>
      <c r="O72" s="155"/>
      <c r="P72" s="155"/>
      <c r="Q72" s="155"/>
      <c r="R72" s="155"/>
      <c r="S72" s="155"/>
      <c r="T72" s="155"/>
      <c r="U72" s="155"/>
      <c r="V72" s="155"/>
    </row>
    <row r="73" spans="12:22" ht="11.25">
      <c r="L73" s="155"/>
      <c r="M73" s="155"/>
      <c r="N73" s="155"/>
      <c r="O73" s="155"/>
      <c r="P73" s="155"/>
      <c r="Q73" s="155"/>
      <c r="R73" s="155"/>
      <c r="S73" s="155"/>
      <c r="T73" s="155"/>
      <c r="U73" s="155"/>
      <c r="V73" s="155"/>
    </row>
    <row r="74" spans="1:22" s="111" customFormat="1" ht="11.25">
      <c r="A74" s="111" t="s">
        <v>36</v>
      </c>
      <c r="G74" s="111">
        <f>J8</f>
        <v>2008</v>
      </c>
      <c r="I74" s="115"/>
      <c r="L74" s="155"/>
      <c r="M74" s="155"/>
      <c r="N74" s="155"/>
      <c r="O74" s="155"/>
      <c r="P74" s="155"/>
      <c r="Q74" s="155"/>
      <c r="R74" s="155"/>
      <c r="S74" s="155"/>
      <c r="T74" s="155"/>
      <c r="U74" s="155"/>
      <c r="V74" s="155"/>
    </row>
    <row r="76" spans="1:32" s="41" customFormat="1" ht="11.25">
      <c r="A76" s="30" t="s">
        <v>99</v>
      </c>
      <c r="B76" s="6"/>
      <c r="C76" s="6"/>
      <c r="D76" s="6"/>
      <c r="E76" s="6"/>
      <c r="F76" s="6"/>
      <c r="G76">
        <f>G74</f>
        <v>2008</v>
      </c>
      <c r="I76" s="89"/>
      <c r="J76" s="6">
        <f>IF(J8&gt;=Summary!$H$61+$G$71,$G$67,((J8-$G$74+1)/$G$71)*$G$67)</f>
        <v>0.05</v>
      </c>
      <c r="K76" s="6">
        <f>IF(K8&gt;=Summary!$H$61+$G$71,$G$67,((K8-$G$74+1)/$G$71)*$G$67)</f>
        <v>0.1</v>
      </c>
      <c r="L76" s="6">
        <f>IF(L8&gt;=Summary!$H$61+$G$71,$G$67,((L8-$G$74+1)/$G$71)*$G$67)</f>
        <v>0.15</v>
      </c>
      <c r="M76" s="6">
        <f>IF(M8&gt;=Summary!$H$61+$G$71,$G$67,((M8-$G$74+1)/$G$71)*$G$67)</f>
        <v>0.2</v>
      </c>
      <c r="N76" s="6">
        <f>IF(N8&gt;=Summary!$H$61+$G$71,$G$67,((N8-$G$74+1)/$G$71)*$G$67)</f>
        <v>0.25</v>
      </c>
      <c r="O76" s="6">
        <f>IF(O8&gt;=Summary!$H$61+$G$71,$G$67,((O8-$G$74+1)/$G$71)*$G$67)</f>
        <v>0.3</v>
      </c>
      <c r="P76" s="6">
        <f>IF(P8&gt;=Summary!$H$61+$G$71,$G$67,((P8-$G$74+1)/$G$71)*$G$67)</f>
        <v>0.35</v>
      </c>
      <c r="Q76" s="6">
        <f>IF(Q8&gt;=Summary!$H$61+$G$71,$G$67,((Q8-$G$74+1)/$G$71)*$G$67)</f>
        <v>0.4</v>
      </c>
      <c r="R76" s="6">
        <f>IF(R8&gt;=Summary!$H$61+$G$71,$G$67,((R8-$G$74+1)/$G$71)*$G$67)</f>
        <v>0.45</v>
      </c>
      <c r="S76" s="6">
        <f>IF(S8&gt;=Summary!$H$61+$G$71,$G$67,((S8-$G$74+1)/$G$71)*$G$67)</f>
        <v>0.5</v>
      </c>
      <c r="T76" s="6">
        <f>IF(T8&gt;=Summary!$H$61+$G$71,$G$67,((T8-$G$74+1)/$G$71)*$G$67)</f>
        <v>0.5</v>
      </c>
      <c r="U76" s="6">
        <f>IF(U8&gt;=Summary!$H$61+$G$71,$G$67,((U8-$G$74+1)/$G$71)*$G$67)</f>
        <v>0.5</v>
      </c>
      <c r="V76" s="6">
        <f>IF(V8&gt;=Summary!$H$61+$G$71,$G$67,((V8-$G$74+1)/$G$71)*$G$67)</f>
        <v>0.5</v>
      </c>
      <c r="W76" s="6">
        <f>IF(W8&gt;=Summary!$H$61+$G$71,$G$67,((W8-$G$74+1)/$G$71)*$G$67)</f>
        <v>0.5</v>
      </c>
      <c r="X76" s="6">
        <f>IF(X8&gt;=Summary!$H$61+$G$71,$G$67,((X8-$G$74+1)/$G$71)*$G$67)</f>
        <v>0.5</v>
      </c>
      <c r="Y76" s="6">
        <f>IF(Y8&gt;=Summary!$H$61+$G$71,$G$67,((Y8-$G$74+1)/$G$71)*$G$67)</f>
        <v>0.5</v>
      </c>
      <c r="Z76" s="6">
        <f>IF(Z8&gt;=Summary!$H$61+$G$71,$G$67,((Z8-$G$74+1)/$G$71)*$G$67)</f>
        <v>0.5</v>
      </c>
      <c r="AA76" s="6">
        <f>IF(AA8&gt;=Summary!$H$61+$G$71,$G$67,((AA8-$G$74+1)/$G$71)*$G$67)</f>
        <v>0.5</v>
      </c>
      <c r="AB76" s="6">
        <f>IF(AB8&gt;=Summary!$H$61+$G$71,$G$67,((AB8-$G$74+1)/$G$71)*$G$67)</f>
        <v>0.5</v>
      </c>
      <c r="AC76" s="6">
        <f>IF(AC8&gt;=Summary!$H$61+$G$71,$G$67,((AC8-$G$74+1)/$G$71)*$G$67)</f>
        <v>0.5</v>
      </c>
      <c r="AD76" s="6">
        <f>IF(AD8&gt;=Summary!$H$61+$G$71,$G$67,((AD8-$G$74+1)/$G$71)*$G$67)</f>
        <v>0.5</v>
      </c>
      <c r="AE76" s="6">
        <f>IF(AE8&gt;=Summary!$H$61+$G$71,$G$67,((AE8-$G$74+1)/$G$71)*$G$67)</f>
        <v>0.5</v>
      </c>
      <c r="AF76" s="6">
        <f>IF(AF8&gt;=Summary!$H$61+$G$71,$G$67,((AF8-$G$74+1)/$G$71)*$G$67)</f>
        <v>0.5</v>
      </c>
    </row>
    <row r="77" spans="1:32" s="41" customFormat="1" ht="11.25">
      <c r="A77" s="30" t="s">
        <v>99</v>
      </c>
      <c r="F77"/>
      <c r="G77">
        <f>G76+1</f>
        <v>2009</v>
      </c>
      <c r="I77" s="89"/>
      <c r="J77" s="6"/>
      <c r="K77" s="6">
        <f aca="true" t="shared" si="17" ref="K77:Z77">J76</f>
        <v>0.05</v>
      </c>
      <c r="L77" s="6">
        <f t="shared" si="17"/>
        <v>0.1</v>
      </c>
      <c r="M77" s="6">
        <f t="shared" si="17"/>
        <v>0.15</v>
      </c>
      <c r="N77" s="6">
        <f t="shared" si="17"/>
        <v>0.2</v>
      </c>
      <c r="O77" s="6">
        <f t="shared" si="17"/>
        <v>0.25</v>
      </c>
      <c r="P77" s="6">
        <f t="shared" si="17"/>
        <v>0.3</v>
      </c>
      <c r="Q77" s="6">
        <f t="shared" si="17"/>
        <v>0.35</v>
      </c>
      <c r="R77" s="6">
        <f t="shared" si="17"/>
        <v>0.4</v>
      </c>
      <c r="S77" s="6">
        <f t="shared" si="17"/>
        <v>0.45</v>
      </c>
      <c r="T77" s="6">
        <f t="shared" si="17"/>
        <v>0.5</v>
      </c>
      <c r="U77" s="6">
        <f t="shared" si="17"/>
        <v>0.5</v>
      </c>
      <c r="V77" s="6">
        <f t="shared" si="17"/>
        <v>0.5</v>
      </c>
      <c r="W77" s="6">
        <f t="shared" si="17"/>
        <v>0.5</v>
      </c>
      <c r="X77" s="6">
        <f t="shared" si="17"/>
        <v>0.5</v>
      </c>
      <c r="Y77" s="6">
        <f t="shared" si="17"/>
        <v>0.5</v>
      </c>
      <c r="Z77" s="6">
        <f t="shared" si="17"/>
        <v>0.5</v>
      </c>
      <c r="AA77" s="6">
        <f aca="true" t="shared" si="18" ref="Q77:AF88">Z76</f>
        <v>0.5</v>
      </c>
      <c r="AB77" s="6">
        <f t="shared" si="18"/>
        <v>0.5</v>
      </c>
      <c r="AC77" s="6">
        <f t="shared" si="18"/>
        <v>0.5</v>
      </c>
      <c r="AD77" s="6">
        <f t="shared" si="18"/>
        <v>0.5</v>
      </c>
      <c r="AE77" s="6">
        <f t="shared" si="18"/>
        <v>0.5</v>
      </c>
      <c r="AF77" s="6">
        <f t="shared" si="18"/>
        <v>0.5</v>
      </c>
    </row>
    <row r="78" spans="1:32" s="41" customFormat="1" ht="11.25">
      <c r="A78" s="30" t="s">
        <v>99</v>
      </c>
      <c r="F78"/>
      <c r="G78">
        <f aca="true" t="shared" si="19" ref="G78:G98">G77+1</f>
        <v>2010</v>
      </c>
      <c r="I78" s="89"/>
      <c r="J78" s="6"/>
      <c r="K78" s="6"/>
      <c r="L78" s="6">
        <f aca="true" t="shared" si="20" ref="L78:Z78">K77</f>
        <v>0.05</v>
      </c>
      <c r="M78" s="6">
        <f t="shared" si="20"/>
        <v>0.1</v>
      </c>
      <c r="N78" s="6">
        <f t="shared" si="20"/>
        <v>0.15</v>
      </c>
      <c r="O78" s="6">
        <f t="shared" si="20"/>
        <v>0.2</v>
      </c>
      <c r="P78" s="6">
        <f t="shared" si="20"/>
        <v>0.25</v>
      </c>
      <c r="Q78" s="6">
        <f t="shared" si="20"/>
        <v>0.3</v>
      </c>
      <c r="R78" s="6">
        <f t="shared" si="20"/>
        <v>0.35</v>
      </c>
      <c r="S78" s="6">
        <f t="shared" si="20"/>
        <v>0.4</v>
      </c>
      <c r="T78" s="6">
        <f t="shared" si="20"/>
        <v>0.45</v>
      </c>
      <c r="U78" s="6">
        <f t="shared" si="20"/>
        <v>0.5</v>
      </c>
      <c r="V78" s="6">
        <f t="shared" si="20"/>
        <v>0.5</v>
      </c>
      <c r="W78" s="6">
        <f t="shared" si="20"/>
        <v>0.5</v>
      </c>
      <c r="X78" s="6">
        <f t="shared" si="20"/>
        <v>0.5</v>
      </c>
      <c r="Y78" s="6">
        <f t="shared" si="20"/>
        <v>0.5</v>
      </c>
      <c r="Z78" s="6">
        <f t="shared" si="20"/>
        <v>0.5</v>
      </c>
      <c r="AA78" s="6">
        <f t="shared" si="18"/>
        <v>0.5</v>
      </c>
      <c r="AB78" s="6">
        <f t="shared" si="18"/>
        <v>0.5</v>
      </c>
      <c r="AC78" s="6">
        <f t="shared" si="18"/>
        <v>0.5</v>
      </c>
      <c r="AD78" s="6">
        <f t="shared" si="18"/>
        <v>0.5</v>
      </c>
      <c r="AE78" s="6">
        <f t="shared" si="18"/>
        <v>0.5</v>
      </c>
      <c r="AF78" s="6">
        <f t="shared" si="18"/>
        <v>0.5</v>
      </c>
    </row>
    <row r="79" spans="1:32" s="41" customFormat="1" ht="11.25">
      <c r="A79" s="30" t="s">
        <v>99</v>
      </c>
      <c r="F79"/>
      <c r="G79">
        <f t="shared" si="19"/>
        <v>2011</v>
      </c>
      <c r="H79"/>
      <c r="I79" s="89"/>
      <c r="J79" s="6"/>
      <c r="K79" s="6"/>
      <c r="L79" s="6"/>
      <c r="M79" s="6">
        <f aca="true" t="shared" si="21" ref="M79:Z79">L78</f>
        <v>0.05</v>
      </c>
      <c r="N79" s="6">
        <f t="shared" si="21"/>
        <v>0.1</v>
      </c>
      <c r="O79" s="6">
        <f t="shared" si="21"/>
        <v>0.15</v>
      </c>
      <c r="P79" s="6">
        <f t="shared" si="21"/>
        <v>0.2</v>
      </c>
      <c r="Q79" s="6">
        <f t="shared" si="21"/>
        <v>0.25</v>
      </c>
      <c r="R79" s="6">
        <f t="shared" si="21"/>
        <v>0.3</v>
      </c>
      <c r="S79" s="6">
        <f t="shared" si="21"/>
        <v>0.35</v>
      </c>
      <c r="T79" s="6">
        <f t="shared" si="21"/>
        <v>0.4</v>
      </c>
      <c r="U79" s="6">
        <f t="shared" si="21"/>
        <v>0.45</v>
      </c>
      <c r="V79" s="6">
        <f t="shared" si="21"/>
        <v>0.5</v>
      </c>
      <c r="W79" s="6">
        <f t="shared" si="21"/>
        <v>0.5</v>
      </c>
      <c r="X79" s="6">
        <f t="shared" si="21"/>
        <v>0.5</v>
      </c>
      <c r="Y79" s="6">
        <f t="shared" si="21"/>
        <v>0.5</v>
      </c>
      <c r="Z79" s="6">
        <f t="shared" si="21"/>
        <v>0.5</v>
      </c>
      <c r="AA79" s="6">
        <f t="shared" si="18"/>
        <v>0.5</v>
      </c>
      <c r="AB79" s="6">
        <f t="shared" si="18"/>
        <v>0.5</v>
      </c>
      <c r="AC79" s="6">
        <f t="shared" si="18"/>
        <v>0.5</v>
      </c>
      <c r="AD79" s="6">
        <f t="shared" si="18"/>
        <v>0.5</v>
      </c>
      <c r="AE79" s="6">
        <f t="shared" si="18"/>
        <v>0.5</v>
      </c>
      <c r="AF79" s="6">
        <f t="shared" si="18"/>
        <v>0.5</v>
      </c>
    </row>
    <row r="80" spans="1:32" s="41" customFormat="1" ht="11.25">
      <c r="A80" s="30" t="s">
        <v>99</v>
      </c>
      <c r="F80"/>
      <c r="G80">
        <f t="shared" si="19"/>
        <v>2012</v>
      </c>
      <c r="H80"/>
      <c r="I80" s="89"/>
      <c r="J80" s="6"/>
      <c r="K80" s="6"/>
      <c r="L80" s="6"/>
      <c r="M80" s="6"/>
      <c r="N80" s="6">
        <f aca="true" t="shared" si="22" ref="N80:Z80">M79</f>
        <v>0.05</v>
      </c>
      <c r="O80" s="6">
        <f t="shared" si="22"/>
        <v>0.1</v>
      </c>
      <c r="P80" s="6">
        <f t="shared" si="22"/>
        <v>0.15</v>
      </c>
      <c r="Q80" s="6">
        <f t="shared" si="22"/>
        <v>0.2</v>
      </c>
      <c r="R80" s="6">
        <f t="shared" si="22"/>
        <v>0.25</v>
      </c>
      <c r="S80" s="6">
        <f t="shared" si="22"/>
        <v>0.3</v>
      </c>
      <c r="T80" s="6">
        <f t="shared" si="22"/>
        <v>0.35</v>
      </c>
      <c r="U80" s="6">
        <f t="shared" si="22"/>
        <v>0.4</v>
      </c>
      <c r="V80" s="6">
        <f t="shared" si="22"/>
        <v>0.45</v>
      </c>
      <c r="W80" s="6">
        <f t="shared" si="22"/>
        <v>0.5</v>
      </c>
      <c r="X80" s="6">
        <f t="shared" si="22"/>
        <v>0.5</v>
      </c>
      <c r="Y80" s="6">
        <f t="shared" si="22"/>
        <v>0.5</v>
      </c>
      <c r="Z80" s="6">
        <f t="shared" si="22"/>
        <v>0.5</v>
      </c>
      <c r="AA80" s="6">
        <f t="shared" si="18"/>
        <v>0.5</v>
      </c>
      <c r="AB80" s="6">
        <f t="shared" si="18"/>
        <v>0.5</v>
      </c>
      <c r="AC80" s="6">
        <f t="shared" si="18"/>
        <v>0.5</v>
      </c>
      <c r="AD80" s="6">
        <f t="shared" si="18"/>
        <v>0.5</v>
      </c>
      <c r="AE80" s="6">
        <f t="shared" si="18"/>
        <v>0.5</v>
      </c>
      <c r="AF80" s="6">
        <f t="shared" si="18"/>
        <v>0.5</v>
      </c>
    </row>
    <row r="81" spans="1:32" s="41" customFormat="1" ht="11.25">
      <c r="A81" s="30" t="s">
        <v>99</v>
      </c>
      <c r="F81"/>
      <c r="G81">
        <f t="shared" si="19"/>
        <v>2013</v>
      </c>
      <c r="H81"/>
      <c r="I81" s="89"/>
      <c r="J81" s="6"/>
      <c r="K81" s="6"/>
      <c r="L81" s="6"/>
      <c r="M81" s="6"/>
      <c r="N81" s="6"/>
      <c r="O81" s="6">
        <f aca="true" t="shared" si="23" ref="O81:Z81">N80</f>
        <v>0.05</v>
      </c>
      <c r="P81" s="6">
        <f t="shared" si="23"/>
        <v>0.1</v>
      </c>
      <c r="Q81" s="6">
        <f t="shared" si="23"/>
        <v>0.15</v>
      </c>
      <c r="R81" s="6">
        <f t="shared" si="23"/>
        <v>0.2</v>
      </c>
      <c r="S81" s="6">
        <f t="shared" si="23"/>
        <v>0.25</v>
      </c>
      <c r="T81" s="6">
        <f t="shared" si="23"/>
        <v>0.3</v>
      </c>
      <c r="U81" s="6">
        <f t="shared" si="23"/>
        <v>0.35</v>
      </c>
      <c r="V81" s="6">
        <f t="shared" si="23"/>
        <v>0.4</v>
      </c>
      <c r="W81" s="6">
        <f t="shared" si="23"/>
        <v>0.45</v>
      </c>
      <c r="X81" s="6">
        <f t="shared" si="23"/>
        <v>0.5</v>
      </c>
      <c r="Y81" s="6">
        <f t="shared" si="23"/>
        <v>0.5</v>
      </c>
      <c r="Z81" s="6">
        <f t="shared" si="23"/>
        <v>0.5</v>
      </c>
      <c r="AA81" s="6">
        <f t="shared" si="18"/>
        <v>0.5</v>
      </c>
      <c r="AB81" s="6">
        <f t="shared" si="18"/>
        <v>0.5</v>
      </c>
      <c r="AC81" s="6">
        <f t="shared" si="18"/>
        <v>0.5</v>
      </c>
      <c r="AD81" s="6">
        <f t="shared" si="18"/>
        <v>0.5</v>
      </c>
      <c r="AE81" s="6">
        <f t="shared" si="18"/>
        <v>0.5</v>
      </c>
      <c r="AF81" s="6">
        <f t="shared" si="18"/>
        <v>0.5</v>
      </c>
    </row>
    <row r="82" spans="1:32" s="41" customFormat="1" ht="11.25">
      <c r="A82" s="30" t="s">
        <v>99</v>
      </c>
      <c r="F82"/>
      <c r="G82">
        <f t="shared" si="19"/>
        <v>2014</v>
      </c>
      <c r="H82"/>
      <c r="I82" s="89"/>
      <c r="J82" s="6"/>
      <c r="K82" s="6"/>
      <c r="L82" s="6"/>
      <c r="M82" s="6"/>
      <c r="N82" s="6"/>
      <c r="O82" s="6"/>
      <c r="P82" s="6">
        <f>O81</f>
        <v>0.05</v>
      </c>
      <c r="Q82" s="6">
        <f t="shared" si="18"/>
        <v>0.1</v>
      </c>
      <c r="R82" s="6">
        <f t="shared" si="18"/>
        <v>0.15</v>
      </c>
      <c r="S82" s="6">
        <f t="shared" si="18"/>
        <v>0.2</v>
      </c>
      <c r="T82" s="6">
        <f t="shared" si="18"/>
        <v>0.25</v>
      </c>
      <c r="U82" s="6">
        <f t="shared" si="18"/>
        <v>0.3</v>
      </c>
      <c r="V82" s="6">
        <f t="shared" si="18"/>
        <v>0.35</v>
      </c>
      <c r="W82" s="6">
        <f t="shared" si="18"/>
        <v>0.4</v>
      </c>
      <c r="X82" s="6">
        <f t="shared" si="18"/>
        <v>0.45</v>
      </c>
      <c r="Y82" s="6">
        <f t="shared" si="18"/>
        <v>0.5</v>
      </c>
      <c r="Z82" s="6">
        <f t="shared" si="18"/>
        <v>0.5</v>
      </c>
      <c r="AA82" s="6">
        <f t="shared" si="18"/>
        <v>0.5</v>
      </c>
      <c r="AB82" s="6">
        <f t="shared" si="18"/>
        <v>0.5</v>
      </c>
      <c r="AC82" s="6">
        <f t="shared" si="18"/>
        <v>0.5</v>
      </c>
      <c r="AD82" s="6">
        <f t="shared" si="18"/>
        <v>0.5</v>
      </c>
      <c r="AE82" s="6">
        <f t="shared" si="18"/>
        <v>0.5</v>
      </c>
      <c r="AF82" s="6">
        <f t="shared" si="18"/>
        <v>0.5</v>
      </c>
    </row>
    <row r="83" spans="1:32" s="41" customFormat="1" ht="11.25">
      <c r="A83" s="30" t="s">
        <v>99</v>
      </c>
      <c r="F83"/>
      <c r="G83">
        <f t="shared" si="19"/>
        <v>2015</v>
      </c>
      <c r="H83"/>
      <c r="I83" s="89"/>
      <c r="J83" s="6"/>
      <c r="K83" s="6"/>
      <c r="L83" s="6"/>
      <c r="M83" s="6"/>
      <c r="N83" s="6"/>
      <c r="O83" s="6"/>
      <c r="P83" s="6"/>
      <c r="Q83" s="6">
        <f>P82</f>
        <v>0.05</v>
      </c>
      <c r="R83" s="6">
        <f t="shared" si="18"/>
        <v>0.1</v>
      </c>
      <c r="S83" s="6">
        <f t="shared" si="18"/>
        <v>0.15</v>
      </c>
      <c r="T83" s="6">
        <f t="shared" si="18"/>
        <v>0.2</v>
      </c>
      <c r="U83" s="6">
        <f t="shared" si="18"/>
        <v>0.25</v>
      </c>
      <c r="V83" s="6">
        <f t="shared" si="18"/>
        <v>0.3</v>
      </c>
      <c r="W83" s="6">
        <f t="shared" si="18"/>
        <v>0.35</v>
      </c>
      <c r="X83" s="6">
        <f t="shared" si="18"/>
        <v>0.4</v>
      </c>
      <c r="Y83" s="6">
        <f t="shared" si="18"/>
        <v>0.45</v>
      </c>
      <c r="Z83" s="6">
        <f t="shared" si="18"/>
        <v>0.5</v>
      </c>
      <c r="AA83" s="6">
        <f t="shared" si="18"/>
        <v>0.5</v>
      </c>
      <c r="AB83" s="6">
        <f t="shared" si="18"/>
        <v>0.5</v>
      </c>
      <c r="AC83" s="6">
        <f t="shared" si="18"/>
        <v>0.5</v>
      </c>
      <c r="AD83" s="6">
        <f t="shared" si="18"/>
        <v>0.5</v>
      </c>
      <c r="AE83" s="6">
        <f t="shared" si="18"/>
        <v>0.5</v>
      </c>
      <c r="AF83" s="6">
        <f t="shared" si="18"/>
        <v>0.5</v>
      </c>
    </row>
    <row r="84" spans="1:32" s="41" customFormat="1" ht="11.25">
      <c r="A84" s="30" t="s">
        <v>99</v>
      </c>
      <c r="F84"/>
      <c r="G84">
        <f t="shared" si="19"/>
        <v>2016</v>
      </c>
      <c r="H84"/>
      <c r="I84" s="89"/>
      <c r="J84" s="6"/>
      <c r="K84" s="6"/>
      <c r="L84" s="6"/>
      <c r="M84" s="6"/>
      <c r="N84" s="32"/>
      <c r="O84" s="6"/>
      <c r="P84" s="6"/>
      <c r="Q84" s="6"/>
      <c r="R84" s="6">
        <f>Q83</f>
        <v>0.05</v>
      </c>
      <c r="S84" s="6">
        <f t="shared" si="18"/>
        <v>0.1</v>
      </c>
      <c r="T84" s="6">
        <f t="shared" si="18"/>
        <v>0.15</v>
      </c>
      <c r="U84" s="6">
        <f t="shared" si="18"/>
        <v>0.2</v>
      </c>
      <c r="V84" s="6">
        <f t="shared" si="18"/>
        <v>0.25</v>
      </c>
      <c r="W84" s="6">
        <f t="shared" si="18"/>
        <v>0.3</v>
      </c>
      <c r="X84" s="6">
        <f t="shared" si="18"/>
        <v>0.35</v>
      </c>
      <c r="Y84" s="6">
        <f t="shared" si="18"/>
        <v>0.4</v>
      </c>
      <c r="Z84" s="6">
        <f t="shared" si="18"/>
        <v>0.45</v>
      </c>
      <c r="AA84" s="6">
        <f t="shared" si="18"/>
        <v>0.5</v>
      </c>
      <c r="AB84" s="6">
        <f t="shared" si="18"/>
        <v>0.5</v>
      </c>
      <c r="AC84" s="6">
        <f t="shared" si="18"/>
        <v>0.5</v>
      </c>
      <c r="AD84" s="6">
        <f t="shared" si="18"/>
        <v>0.5</v>
      </c>
      <c r="AE84" s="6">
        <f t="shared" si="18"/>
        <v>0.5</v>
      </c>
      <c r="AF84" s="6">
        <f t="shared" si="18"/>
        <v>0.5</v>
      </c>
    </row>
    <row r="85" spans="1:32" s="41" customFormat="1" ht="11.25">
      <c r="A85" s="30" t="s">
        <v>99</v>
      </c>
      <c r="F85"/>
      <c r="G85">
        <f t="shared" si="19"/>
        <v>2017</v>
      </c>
      <c r="H85"/>
      <c r="I85" s="89"/>
      <c r="J85" s="6"/>
      <c r="K85" s="6"/>
      <c r="L85" s="6"/>
      <c r="M85" s="6"/>
      <c r="N85" s="32"/>
      <c r="O85" s="6"/>
      <c r="P85" s="6"/>
      <c r="Q85" s="6"/>
      <c r="R85" s="6"/>
      <c r="S85" s="6">
        <f>R84</f>
        <v>0.05</v>
      </c>
      <c r="T85" s="6">
        <f t="shared" si="18"/>
        <v>0.1</v>
      </c>
      <c r="U85" s="6">
        <f t="shared" si="18"/>
        <v>0.15</v>
      </c>
      <c r="V85" s="6">
        <f t="shared" si="18"/>
        <v>0.2</v>
      </c>
      <c r="W85" s="6">
        <f t="shared" si="18"/>
        <v>0.25</v>
      </c>
      <c r="X85" s="6">
        <f t="shared" si="18"/>
        <v>0.3</v>
      </c>
      <c r="Y85" s="6">
        <f t="shared" si="18"/>
        <v>0.35</v>
      </c>
      <c r="Z85" s="6">
        <f t="shared" si="18"/>
        <v>0.4</v>
      </c>
      <c r="AA85" s="6">
        <f t="shared" si="18"/>
        <v>0.45</v>
      </c>
      <c r="AB85" s="6">
        <f t="shared" si="18"/>
        <v>0.5</v>
      </c>
      <c r="AC85" s="6">
        <f t="shared" si="18"/>
        <v>0.5</v>
      </c>
      <c r="AD85" s="6">
        <f t="shared" si="18"/>
        <v>0.5</v>
      </c>
      <c r="AE85" s="6">
        <f t="shared" si="18"/>
        <v>0.5</v>
      </c>
      <c r="AF85" s="6">
        <f t="shared" si="18"/>
        <v>0.5</v>
      </c>
    </row>
    <row r="86" spans="1:32" s="41" customFormat="1" ht="11.25">
      <c r="A86" s="30" t="s">
        <v>99</v>
      </c>
      <c r="F86"/>
      <c r="G86">
        <f t="shared" si="19"/>
        <v>2018</v>
      </c>
      <c r="H86"/>
      <c r="I86" s="89"/>
      <c r="J86" s="6"/>
      <c r="K86" s="6"/>
      <c r="L86" s="6"/>
      <c r="M86" s="6"/>
      <c r="N86" s="32"/>
      <c r="O86" s="6"/>
      <c r="P86" s="6"/>
      <c r="Q86" s="6"/>
      <c r="R86" s="6"/>
      <c r="S86" s="6"/>
      <c r="T86" s="6">
        <f>S85</f>
        <v>0.05</v>
      </c>
      <c r="U86" s="6">
        <f t="shared" si="18"/>
        <v>0.1</v>
      </c>
      <c r="V86" s="6">
        <f t="shared" si="18"/>
        <v>0.15</v>
      </c>
      <c r="W86" s="6">
        <f t="shared" si="18"/>
        <v>0.2</v>
      </c>
      <c r="X86" s="6">
        <f t="shared" si="18"/>
        <v>0.25</v>
      </c>
      <c r="Y86" s="6">
        <f t="shared" si="18"/>
        <v>0.3</v>
      </c>
      <c r="Z86" s="6">
        <f t="shared" si="18"/>
        <v>0.35</v>
      </c>
      <c r="AA86" s="6">
        <f t="shared" si="18"/>
        <v>0.4</v>
      </c>
      <c r="AB86" s="6">
        <f t="shared" si="18"/>
        <v>0.45</v>
      </c>
      <c r="AC86" s="6">
        <f t="shared" si="18"/>
        <v>0.5</v>
      </c>
      <c r="AD86" s="6">
        <f t="shared" si="18"/>
        <v>0.5</v>
      </c>
      <c r="AE86" s="6">
        <f t="shared" si="18"/>
        <v>0.5</v>
      </c>
      <c r="AF86" s="6">
        <f t="shared" si="18"/>
        <v>0.5</v>
      </c>
    </row>
    <row r="87" spans="1:32" s="41" customFormat="1" ht="11.25">
      <c r="A87" s="30" t="s">
        <v>99</v>
      </c>
      <c r="F87"/>
      <c r="G87">
        <f t="shared" si="19"/>
        <v>2019</v>
      </c>
      <c r="H87"/>
      <c r="I87" s="89"/>
      <c r="J87" s="6"/>
      <c r="K87" s="6"/>
      <c r="L87" s="6"/>
      <c r="M87" s="6"/>
      <c r="N87" s="32"/>
      <c r="O87" s="6"/>
      <c r="P87" s="6"/>
      <c r="Q87" s="6"/>
      <c r="R87" s="6"/>
      <c r="S87" s="6"/>
      <c r="T87" s="6"/>
      <c r="U87" s="6">
        <f>T86</f>
        <v>0.05</v>
      </c>
      <c r="V87" s="6">
        <f t="shared" si="18"/>
        <v>0.1</v>
      </c>
      <c r="W87" s="6">
        <f t="shared" si="18"/>
        <v>0.15</v>
      </c>
      <c r="X87" s="6">
        <f t="shared" si="18"/>
        <v>0.2</v>
      </c>
      <c r="Y87" s="6">
        <f t="shared" si="18"/>
        <v>0.25</v>
      </c>
      <c r="Z87" s="6">
        <f t="shared" si="18"/>
        <v>0.3</v>
      </c>
      <c r="AA87" s="6">
        <f t="shared" si="18"/>
        <v>0.35</v>
      </c>
      <c r="AB87" s="6">
        <f t="shared" si="18"/>
        <v>0.4</v>
      </c>
      <c r="AC87" s="6">
        <f t="shared" si="18"/>
        <v>0.45</v>
      </c>
      <c r="AD87" s="6">
        <f t="shared" si="18"/>
        <v>0.5</v>
      </c>
      <c r="AE87" s="6">
        <f t="shared" si="18"/>
        <v>0.5</v>
      </c>
      <c r="AF87" s="6">
        <f t="shared" si="18"/>
        <v>0.5</v>
      </c>
    </row>
    <row r="88" spans="1:32" s="41" customFormat="1" ht="11.25">
      <c r="A88" s="30" t="s">
        <v>99</v>
      </c>
      <c r="F88"/>
      <c r="G88">
        <f t="shared" si="19"/>
        <v>2020</v>
      </c>
      <c r="H88"/>
      <c r="I88" s="89"/>
      <c r="J88" s="6"/>
      <c r="K88" s="6"/>
      <c r="L88" s="6"/>
      <c r="M88" s="6"/>
      <c r="N88" s="32"/>
      <c r="O88" s="6"/>
      <c r="P88" s="6"/>
      <c r="Q88" s="6"/>
      <c r="R88" s="6"/>
      <c r="S88" s="6"/>
      <c r="T88" s="6"/>
      <c r="U88" s="6"/>
      <c r="V88" s="6">
        <f>U87</f>
        <v>0.05</v>
      </c>
      <c r="W88" s="6">
        <f t="shared" si="18"/>
        <v>0.1</v>
      </c>
      <c r="X88" s="6">
        <f t="shared" si="18"/>
        <v>0.15</v>
      </c>
      <c r="Y88" s="6">
        <f t="shared" si="18"/>
        <v>0.2</v>
      </c>
      <c r="Z88" s="6">
        <f t="shared" si="18"/>
        <v>0.25</v>
      </c>
      <c r="AA88" s="6">
        <f t="shared" si="18"/>
        <v>0.3</v>
      </c>
      <c r="AB88" s="6">
        <f t="shared" si="18"/>
        <v>0.35</v>
      </c>
      <c r="AC88" s="6">
        <f t="shared" si="18"/>
        <v>0.4</v>
      </c>
      <c r="AD88" s="6">
        <f t="shared" si="18"/>
        <v>0.45</v>
      </c>
      <c r="AE88" s="6">
        <f t="shared" si="18"/>
        <v>0.5</v>
      </c>
      <c r="AF88" s="6">
        <f t="shared" si="18"/>
        <v>0.5</v>
      </c>
    </row>
    <row r="89" spans="1:32" s="41" customFormat="1" ht="11.25">
      <c r="A89" s="30" t="s">
        <v>99</v>
      </c>
      <c r="F89"/>
      <c r="G89">
        <f t="shared" si="19"/>
        <v>2021</v>
      </c>
      <c r="H89"/>
      <c r="I89" s="89"/>
      <c r="J89" s="6"/>
      <c r="K89" s="6"/>
      <c r="L89" s="6"/>
      <c r="M89" s="6"/>
      <c r="N89" s="32"/>
      <c r="O89" s="6"/>
      <c r="P89" s="6"/>
      <c r="Q89" s="6"/>
      <c r="R89" s="6"/>
      <c r="S89" s="6"/>
      <c r="T89" s="6"/>
      <c r="U89" s="6"/>
      <c r="V89" s="6"/>
      <c r="W89" s="6">
        <f aca="true" t="shared" si="24" ref="W89:AF89">V88</f>
        <v>0.05</v>
      </c>
      <c r="X89" s="6">
        <f t="shared" si="24"/>
        <v>0.1</v>
      </c>
      <c r="Y89" s="6">
        <f t="shared" si="24"/>
        <v>0.15</v>
      </c>
      <c r="Z89" s="6">
        <f t="shared" si="24"/>
        <v>0.2</v>
      </c>
      <c r="AA89" s="6">
        <f t="shared" si="24"/>
        <v>0.25</v>
      </c>
      <c r="AB89" s="6">
        <f t="shared" si="24"/>
        <v>0.3</v>
      </c>
      <c r="AC89" s="6">
        <f t="shared" si="24"/>
        <v>0.35</v>
      </c>
      <c r="AD89" s="6">
        <f t="shared" si="24"/>
        <v>0.4</v>
      </c>
      <c r="AE89" s="6">
        <f t="shared" si="24"/>
        <v>0.45</v>
      </c>
      <c r="AF89" s="6">
        <f t="shared" si="24"/>
        <v>0.5</v>
      </c>
    </row>
    <row r="90" spans="1:32" s="41" customFormat="1" ht="11.25">
      <c r="A90" s="30" t="s">
        <v>99</v>
      </c>
      <c r="F90"/>
      <c r="G90">
        <f t="shared" si="19"/>
        <v>2022</v>
      </c>
      <c r="H90"/>
      <c r="I90" s="89"/>
      <c r="J90" s="6"/>
      <c r="K90" s="6"/>
      <c r="L90" s="6"/>
      <c r="M90" s="6"/>
      <c r="N90" s="32"/>
      <c r="O90" s="6"/>
      <c r="P90" s="6"/>
      <c r="Q90" s="6"/>
      <c r="R90" s="6"/>
      <c r="S90" s="6"/>
      <c r="T90" s="6"/>
      <c r="U90" s="6"/>
      <c r="V90" s="6"/>
      <c r="W90" s="6"/>
      <c r="X90" s="6">
        <f aca="true" t="shared" si="25" ref="X90:AF90">W89</f>
        <v>0.05</v>
      </c>
      <c r="Y90" s="6">
        <f t="shared" si="25"/>
        <v>0.1</v>
      </c>
      <c r="Z90" s="6">
        <f t="shared" si="25"/>
        <v>0.15</v>
      </c>
      <c r="AA90" s="6">
        <f t="shared" si="25"/>
        <v>0.2</v>
      </c>
      <c r="AB90" s="6">
        <f t="shared" si="25"/>
        <v>0.25</v>
      </c>
      <c r="AC90" s="6">
        <f t="shared" si="25"/>
        <v>0.3</v>
      </c>
      <c r="AD90" s="6">
        <f t="shared" si="25"/>
        <v>0.35</v>
      </c>
      <c r="AE90" s="6">
        <f t="shared" si="25"/>
        <v>0.4</v>
      </c>
      <c r="AF90" s="6">
        <f t="shared" si="25"/>
        <v>0.45</v>
      </c>
    </row>
    <row r="91" spans="1:32" s="41" customFormat="1" ht="11.25">
      <c r="A91" s="30" t="s">
        <v>99</v>
      </c>
      <c r="F91"/>
      <c r="G91">
        <f t="shared" si="19"/>
        <v>2023</v>
      </c>
      <c r="H91"/>
      <c r="I91" s="89"/>
      <c r="J91" s="6"/>
      <c r="K91" s="6"/>
      <c r="L91" s="6"/>
      <c r="M91" s="6"/>
      <c r="N91" s="32"/>
      <c r="O91" s="6"/>
      <c r="P91" s="6"/>
      <c r="Q91" s="6"/>
      <c r="R91" s="6"/>
      <c r="S91" s="6"/>
      <c r="T91" s="6"/>
      <c r="U91" s="6"/>
      <c r="V91" s="6"/>
      <c r="W91" s="6"/>
      <c r="X91" s="6"/>
      <c r="Y91" s="6">
        <f>X90</f>
        <v>0.05</v>
      </c>
      <c r="Z91" s="6">
        <f aca="true" t="shared" si="26" ref="Z91:AF96">Y90</f>
        <v>0.1</v>
      </c>
      <c r="AA91" s="6">
        <f t="shared" si="26"/>
        <v>0.15</v>
      </c>
      <c r="AB91" s="6">
        <f t="shared" si="26"/>
        <v>0.2</v>
      </c>
      <c r="AC91" s="6">
        <f t="shared" si="26"/>
        <v>0.25</v>
      </c>
      <c r="AD91" s="6">
        <f t="shared" si="26"/>
        <v>0.3</v>
      </c>
      <c r="AE91" s="6">
        <f t="shared" si="26"/>
        <v>0.35</v>
      </c>
      <c r="AF91" s="6">
        <f t="shared" si="26"/>
        <v>0.4</v>
      </c>
    </row>
    <row r="92" spans="1:32" s="41" customFormat="1" ht="11.25">
      <c r="A92" s="30" t="s">
        <v>99</v>
      </c>
      <c r="F92"/>
      <c r="G92">
        <f t="shared" si="19"/>
        <v>2024</v>
      </c>
      <c r="H92" s="6"/>
      <c r="I92" s="89"/>
      <c r="J92" s="6"/>
      <c r="K92" s="6"/>
      <c r="L92" s="6"/>
      <c r="M92" s="6"/>
      <c r="N92" s="32"/>
      <c r="O92" s="6"/>
      <c r="P92" s="6"/>
      <c r="Q92" s="6"/>
      <c r="R92" s="6"/>
      <c r="S92" s="6"/>
      <c r="T92" s="6"/>
      <c r="U92" s="6"/>
      <c r="V92" s="6"/>
      <c r="W92" s="6"/>
      <c r="X92" s="6"/>
      <c r="Y92" s="6"/>
      <c r="Z92" s="6">
        <f>Y91</f>
        <v>0.05</v>
      </c>
      <c r="AA92" s="6">
        <f t="shared" si="26"/>
        <v>0.1</v>
      </c>
      <c r="AB92" s="6">
        <f t="shared" si="26"/>
        <v>0.15</v>
      </c>
      <c r="AC92" s="6">
        <f t="shared" si="26"/>
        <v>0.2</v>
      </c>
      <c r="AD92" s="6">
        <f t="shared" si="26"/>
        <v>0.25</v>
      </c>
      <c r="AE92" s="6">
        <f t="shared" si="26"/>
        <v>0.3</v>
      </c>
      <c r="AF92" s="6">
        <f t="shared" si="26"/>
        <v>0.35</v>
      </c>
    </row>
    <row r="93" spans="1:32" s="41" customFormat="1" ht="11.25">
      <c r="A93" s="30" t="s">
        <v>99</v>
      </c>
      <c r="F93"/>
      <c r="G93">
        <f t="shared" si="19"/>
        <v>2025</v>
      </c>
      <c r="H93" s="6"/>
      <c r="I93" s="33"/>
      <c r="J93" s="6"/>
      <c r="K93" s="6"/>
      <c r="L93" s="6"/>
      <c r="M93" s="6"/>
      <c r="N93" s="32"/>
      <c r="O93" s="6"/>
      <c r="P93" s="6"/>
      <c r="Q93" s="6"/>
      <c r="R93" s="6"/>
      <c r="S93" s="6"/>
      <c r="T93" s="6"/>
      <c r="U93" s="6"/>
      <c r="V93" s="6"/>
      <c r="W93" s="6"/>
      <c r="X93" s="6"/>
      <c r="Y93" s="6"/>
      <c r="Z93" s="6"/>
      <c r="AA93" s="6">
        <f>Z92</f>
        <v>0.05</v>
      </c>
      <c r="AB93" s="6">
        <f t="shared" si="26"/>
        <v>0.1</v>
      </c>
      <c r="AC93" s="6">
        <f t="shared" si="26"/>
        <v>0.15</v>
      </c>
      <c r="AD93" s="6">
        <f t="shared" si="26"/>
        <v>0.2</v>
      </c>
      <c r="AE93" s="6">
        <f t="shared" si="26"/>
        <v>0.25</v>
      </c>
      <c r="AF93" s="6">
        <f t="shared" si="26"/>
        <v>0.3</v>
      </c>
    </row>
    <row r="94" spans="1:32" s="41" customFormat="1" ht="11.25">
      <c r="A94" s="30" t="s">
        <v>99</v>
      </c>
      <c r="F94"/>
      <c r="G94">
        <f t="shared" si="19"/>
        <v>2026</v>
      </c>
      <c r="H94" s="6"/>
      <c r="I94" s="33"/>
      <c r="J94" s="6"/>
      <c r="K94" s="6"/>
      <c r="L94" s="6"/>
      <c r="M94" s="6"/>
      <c r="N94" s="32"/>
      <c r="O94" s="6"/>
      <c r="P94" s="6"/>
      <c r="Q94" s="6"/>
      <c r="R94" s="6"/>
      <c r="S94" s="6"/>
      <c r="T94" s="6"/>
      <c r="U94" s="6"/>
      <c r="V94" s="6"/>
      <c r="W94" s="6"/>
      <c r="X94" s="6"/>
      <c r="Y94" s="6"/>
      <c r="Z94" s="6"/>
      <c r="AA94" s="6"/>
      <c r="AB94" s="6">
        <f>AA93</f>
        <v>0.05</v>
      </c>
      <c r="AC94" s="6">
        <f t="shared" si="26"/>
        <v>0.1</v>
      </c>
      <c r="AD94" s="6">
        <f t="shared" si="26"/>
        <v>0.15</v>
      </c>
      <c r="AE94" s="6">
        <f t="shared" si="26"/>
        <v>0.2</v>
      </c>
      <c r="AF94" s="6">
        <f t="shared" si="26"/>
        <v>0.25</v>
      </c>
    </row>
    <row r="95" spans="1:32" s="41" customFormat="1" ht="11.25">
      <c r="A95" s="30" t="s">
        <v>99</v>
      </c>
      <c r="F95"/>
      <c r="G95">
        <f t="shared" si="19"/>
        <v>2027</v>
      </c>
      <c r="H95" s="6"/>
      <c r="I95" s="33"/>
      <c r="J95" s="6"/>
      <c r="K95" s="6"/>
      <c r="L95" s="6"/>
      <c r="M95" s="6"/>
      <c r="N95" s="32"/>
      <c r="O95" s="6"/>
      <c r="P95" s="6"/>
      <c r="Q95" s="6"/>
      <c r="R95" s="6"/>
      <c r="S95" s="6"/>
      <c r="T95" s="6"/>
      <c r="U95" s="6"/>
      <c r="V95" s="6"/>
      <c r="W95" s="6"/>
      <c r="X95" s="6"/>
      <c r="Y95" s="6"/>
      <c r="Z95" s="6"/>
      <c r="AA95" s="6"/>
      <c r="AB95" s="6"/>
      <c r="AC95" s="6">
        <f>AB94</f>
        <v>0.05</v>
      </c>
      <c r="AD95" s="6">
        <f t="shared" si="26"/>
        <v>0.1</v>
      </c>
      <c r="AE95" s="6">
        <f t="shared" si="26"/>
        <v>0.15</v>
      </c>
      <c r="AF95" s="6">
        <f t="shared" si="26"/>
        <v>0.2</v>
      </c>
    </row>
    <row r="96" spans="1:32" s="41" customFormat="1" ht="11.25">
      <c r="A96" s="30" t="s">
        <v>99</v>
      </c>
      <c r="F96"/>
      <c r="G96">
        <f t="shared" si="19"/>
        <v>2028</v>
      </c>
      <c r="H96" s="6"/>
      <c r="I96" s="33"/>
      <c r="J96" s="6"/>
      <c r="K96" s="6"/>
      <c r="L96" s="6"/>
      <c r="M96" s="6"/>
      <c r="N96" s="32"/>
      <c r="O96" s="6"/>
      <c r="P96" s="6"/>
      <c r="Q96" s="6"/>
      <c r="R96" s="6"/>
      <c r="S96" s="6"/>
      <c r="T96" s="6"/>
      <c r="U96" s="6"/>
      <c r="V96" s="6"/>
      <c r="W96" s="6"/>
      <c r="X96" s="6"/>
      <c r="Y96" s="6"/>
      <c r="Z96" s="6"/>
      <c r="AA96" s="6"/>
      <c r="AB96" s="6"/>
      <c r="AC96" s="6"/>
      <c r="AD96" s="6">
        <f>AC95</f>
        <v>0.05</v>
      </c>
      <c r="AE96" s="6">
        <f t="shared" si="26"/>
        <v>0.1</v>
      </c>
      <c r="AF96" s="6">
        <f t="shared" si="26"/>
        <v>0.15</v>
      </c>
    </row>
    <row r="97" spans="1:32" s="41" customFormat="1" ht="11.25">
      <c r="A97" s="30" t="s">
        <v>99</v>
      </c>
      <c r="F97"/>
      <c r="G97">
        <f t="shared" si="19"/>
        <v>2029</v>
      </c>
      <c r="H97" s="6"/>
      <c r="I97" s="33"/>
      <c r="J97" s="6"/>
      <c r="K97" s="6"/>
      <c r="L97" s="6"/>
      <c r="M97" s="6"/>
      <c r="N97" s="32"/>
      <c r="O97" s="6"/>
      <c r="P97" s="6"/>
      <c r="Q97" s="6"/>
      <c r="R97" s="6"/>
      <c r="S97" s="6"/>
      <c r="T97" s="6"/>
      <c r="U97" s="6"/>
      <c r="V97" s="6"/>
      <c r="W97" s="6"/>
      <c r="X97" s="6"/>
      <c r="Y97" s="6"/>
      <c r="Z97" s="6"/>
      <c r="AA97" s="6"/>
      <c r="AB97" s="6"/>
      <c r="AC97" s="6"/>
      <c r="AD97" s="6"/>
      <c r="AE97" s="6">
        <f>AD96</f>
        <v>0.05</v>
      </c>
      <c r="AF97" s="6">
        <f>AE96</f>
        <v>0.1</v>
      </c>
    </row>
    <row r="98" spans="1:32" s="41" customFormat="1" ht="11.25">
      <c r="A98" s="30" t="s">
        <v>99</v>
      </c>
      <c r="F98"/>
      <c r="G98">
        <f t="shared" si="19"/>
        <v>2030</v>
      </c>
      <c r="H98" s="6"/>
      <c r="I98" s="33"/>
      <c r="J98" s="6"/>
      <c r="K98" s="6"/>
      <c r="L98" s="6"/>
      <c r="M98" s="6"/>
      <c r="N98" s="32"/>
      <c r="O98" s="6"/>
      <c r="P98" s="6"/>
      <c r="Q98" s="6"/>
      <c r="R98" s="6"/>
      <c r="S98" s="6"/>
      <c r="T98" s="6"/>
      <c r="U98" s="6"/>
      <c r="V98" s="6"/>
      <c r="W98" s="6"/>
      <c r="X98" s="6"/>
      <c r="Y98" s="6"/>
      <c r="Z98" s="6"/>
      <c r="AA98" s="6"/>
      <c r="AB98" s="6"/>
      <c r="AC98" s="6"/>
      <c r="AD98" s="6"/>
      <c r="AE98" s="6"/>
      <c r="AF98" s="6">
        <f>AE97</f>
        <v>0.05</v>
      </c>
    </row>
    <row r="99" spans="1:9" s="41" customFormat="1" ht="11.25">
      <c r="A99" s="43"/>
      <c r="H99"/>
      <c r="I99" s="33"/>
    </row>
    <row r="100" spans="1:32" s="42" customFormat="1" ht="11.25">
      <c r="A100" s="44" t="s">
        <v>125</v>
      </c>
      <c r="F100"/>
      <c r="G100">
        <f>G76</f>
        <v>2008</v>
      </c>
      <c r="H100"/>
      <c r="I100" s="33"/>
      <c r="J100" s="16">
        <f aca="true" t="shared" si="27" ref="J100:AF100">(1+$J$65)^(-J76)</f>
        <v>0.996928359150991</v>
      </c>
      <c r="K100" s="16">
        <f t="shared" si="27"/>
        <v>0.9938661532794874</v>
      </c>
      <c r="L100" s="16">
        <f t="shared" si="27"/>
        <v>0.9908133534046267</v>
      </c>
      <c r="M100" s="16">
        <f t="shared" si="27"/>
        <v>0.9877699306345654</v>
      </c>
      <c r="N100" s="16">
        <f t="shared" si="27"/>
        <v>0.9847358561662055</v>
      </c>
      <c r="O100" s="16">
        <f t="shared" si="27"/>
        <v>0.9817111012849217</v>
      </c>
      <c r="P100" s="16">
        <f t="shared" si="27"/>
        <v>0.9786956373642893</v>
      </c>
      <c r="Q100" s="16">
        <f t="shared" si="27"/>
        <v>0.9756894358658142</v>
      </c>
      <c r="R100" s="16">
        <f t="shared" si="27"/>
        <v>0.9726924683386624</v>
      </c>
      <c r="S100" s="16">
        <f t="shared" si="27"/>
        <v>0.96970470641939</v>
      </c>
      <c r="T100" s="16">
        <f t="shared" si="27"/>
        <v>0.96970470641939</v>
      </c>
      <c r="U100" s="16">
        <f t="shared" si="27"/>
        <v>0.96970470641939</v>
      </c>
      <c r="V100" s="16">
        <f t="shared" si="27"/>
        <v>0.96970470641939</v>
      </c>
      <c r="W100" s="16">
        <f t="shared" si="27"/>
        <v>0.96970470641939</v>
      </c>
      <c r="X100" s="16">
        <f t="shared" si="27"/>
        <v>0.96970470641939</v>
      </c>
      <c r="Y100" s="16">
        <f t="shared" si="27"/>
        <v>0.96970470641939</v>
      </c>
      <c r="Z100" s="16">
        <f t="shared" si="27"/>
        <v>0.96970470641939</v>
      </c>
      <c r="AA100" s="16">
        <f t="shared" si="27"/>
        <v>0.96970470641939</v>
      </c>
      <c r="AB100" s="16">
        <f t="shared" si="27"/>
        <v>0.96970470641939</v>
      </c>
      <c r="AC100" s="16">
        <f t="shared" si="27"/>
        <v>0.96970470641939</v>
      </c>
      <c r="AD100" s="16">
        <f t="shared" si="27"/>
        <v>0.96970470641939</v>
      </c>
      <c r="AE100" s="16">
        <f t="shared" si="27"/>
        <v>0.96970470641939</v>
      </c>
      <c r="AF100" s="16">
        <f t="shared" si="27"/>
        <v>0.96970470641939</v>
      </c>
    </row>
    <row r="101" spans="1:32" ht="11.25">
      <c r="A101" s="44" t="s">
        <v>125</v>
      </c>
      <c r="B101" s="44"/>
      <c r="G101">
        <f aca="true" t="shared" si="28" ref="G101:G122">G77</f>
        <v>2009</v>
      </c>
      <c r="J101" s="16">
        <f>(1+$J$65)^(-J77)</f>
        <v>1</v>
      </c>
      <c r="K101" s="16">
        <f>(1+$K$65)^(-K77)</f>
        <v>0.9971681002974272</v>
      </c>
      <c r="L101" s="16">
        <f>(1+$K$65)^(-L77)</f>
        <v>0.9943442202507798</v>
      </c>
      <c r="M101" s="16">
        <f>(1+$K$65)^(-M77)</f>
        <v>0.9915283371491967</v>
      </c>
      <c r="N101" s="16">
        <f>(1+$K$65)^(-N77)</f>
        <v>0.9887204283461316</v>
      </c>
      <c r="O101" s="16">
        <f>(1+$K$65)^(-O77)</f>
        <v>0.9859204712591705</v>
      </c>
      <c r="P101" s="16">
        <f aca="true" t="shared" si="29" ref="P101:AF101">(1+$K$65)^(-P77)</f>
        <v>0.9831284433698514</v>
      </c>
      <c r="Q101" s="16">
        <f t="shared" si="29"/>
        <v>0.9803443222234814</v>
      </c>
      <c r="R101" s="16">
        <f t="shared" si="29"/>
        <v>0.9775680854289579</v>
      </c>
      <c r="S101" s="16">
        <f t="shared" si="29"/>
        <v>0.9747997106585871</v>
      </c>
      <c r="T101" s="16">
        <f t="shared" si="29"/>
        <v>0.9720391756479051</v>
      </c>
      <c r="U101" s="16">
        <f t="shared" si="29"/>
        <v>0.9720391756479051</v>
      </c>
      <c r="V101" s="16">
        <f t="shared" si="29"/>
        <v>0.9720391756479051</v>
      </c>
      <c r="W101" s="16">
        <f t="shared" si="29"/>
        <v>0.9720391756479051</v>
      </c>
      <c r="X101" s="16">
        <f t="shared" si="29"/>
        <v>0.9720391756479051</v>
      </c>
      <c r="Y101" s="16">
        <f t="shared" si="29"/>
        <v>0.9720391756479051</v>
      </c>
      <c r="Z101" s="16">
        <f t="shared" si="29"/>
        <v>0.9720391756479051</v>
      </c>
      <c r="AA101" s="16">
        <f t="shared" si="29"/>
        <v>0.9720391756479051</v>
      </c>
      <c r="AB101" s="16">
        <f t="shared" si="29"/>
        <v>0.9720391756479051</v>
      </c>
      <c r="AC101" s="16">
        <f t="shared" si="29"/>
        <v>0.9720391756479051</v>
      </c>
      <c r="AD101" s="16">
        <f t="shared" si="29"/>
        <v>0.9720391756479051</v>
      </c>
      <c r="AE101" s="16">
        <f t="shared" si="29"/>
        <v>0.9720391756479051</v>
      </c>
      <c r="AF101" s="16">
        <f t="shared" si="29"/>
        <v>0.9720391756479051</v>
      </c>
    </row>
    <row r="102" spans="1:33" ht="11.25">
      <c r="A102" s="44" t="s">
        <v>125</v>
      </c>
      <c r="B102" s="44"/>
      <c r="G102">
        <f t="shared" si="28"/>
        <v>2010</v>
      </c>
      <c r="H102" s="3"/>
      <c r="I102" s="77"/>
      <c r="J102" s="16">
        <f aca="true" t="shared" si="30" ref="J102:J122">(1+$J$65)^(-J78)</f>
        <v>1</v>
      </c>
      <c r="K102" s="16">
        <f aca="true" t="shared" si="31" ref="K102:K122">(1+$K$65)^(-K78)</f>
        <v>1</v>
      </c>
      <c r="L102" s="17">
        <f aca="true" t="shared" si="32" ref="L102:AF102">(1+$L$65)^(-L78)</f>
        <v>0.9973777219240111</v>
      </c>
      <c r="M102" s="17">
        <f t="shared" si="32"/>
        <v>0.9947623201903298</v>
      </c>
      <c r="N102" s="17">
        <f t="shared" si="32"/>
        <v>0.9921537767672747</v>
      </c>
      <c r="O102" s="17">
        <f t="shared" si="32"/>
        <v>0.9895520736704483</v>
      </c>
      <c r="P102" s="17">
        <f t="shared" si="32"/>
        <v>0.9869571929626129</v>
      </c>
      <c r="Q102" s="17">
        <f t="shared" si="32"/>
        <v>0.9843691167535672</v>
      </c>
      <c r="R102" s="17">
        <f t="shared" si="32"/>
        <v>0.9817878272000238</v>
      </c>
      <c r="S102" s="17">
        <f t="shared" si="32"/>
        <v>0.9792133065054843</v>
      </c>
      <c r="T102" s="17">
        <f t="shared" si="32"/>
        <v>0.9766455369201182</v>
      </c>
      <c r="U102" s="17">
        <f t="shared" si="32"/>
        <v>0.9740845007406401</v>
      </c>
      <c r="V102" s="17">
        <f t="shared" si="32"/>
        <v>0.9740845007406401</v>
      </c>
      <c r="W102" s="17">
        <f t="shared" si="32"/>
        <v>0.9740845007406401</v>
      </c>
      <c r="X102" s="17">
        <f t="shared" si="32"/>
        <v>0.9740845007406401</v>
      </c>
      <c r="Y102" s="17">
        <f t="shared" si="32"/>
        <v>0.9740845007406401</v>
      </c>
      <c r="Z102" s="17">
        <f t="shared" si="32"/>
        <v>0.9740845007406401</v>
      </c>
      <c r="AA102" s="17">
        <f t="shared" si="32"/>
        <v>0.9740845007406401</v>
      </c>
      <c r="AB102" s="17">
        <f t="shared" si="32"/>
        <v>0.9740845007406401</v>
      </c>
      <c r="AC102" s="17">
        <f t="shared" si="32"/>
        <v>0.9740845007406401</v>
      </c>
      <c r="AD102" s="17">
        <f t="shared" si="32"/>
        <v>0.9740845007406401</v>
      </c>
      <c r="AE102" s="17">
        <f t="shared" si="32"/>
        <v>0.9740845007406401</v>
      </c>
      <c r="AF102" s="17">
        <f t="shared" si="32"/>
        <v>0.9740845007406401</v>
      </c>
      <c r="AG102" s="17"/>
    </row>
    <row r="103" spans="1:32" ht="11.25">
      <c r="A103" s="44" t="s">
        <v>125</v>
      </c>
      <c r="B103" s="44"/>
      <c r="G103">
        <f t="shared" si="28"/>
        <v>2011</v>
      </c>
      <c r="H103" s="3"/>
      <c r="I103" s="77"/>
      <c r="J103" s="16">
        <f t="shared" si="30"/>
        <v>1</v>
      </c>
      <c r="K103" s="16">
        <f t="shared" si="31"/>
        <v>1</v>
      </c>
      <c r="L103" s="17">
        <f aca="true" t="shared" si="33" ref="L103:L122">(1+$L$65)^(-L79)</f>
        <v>1</v>
      </c>
      <c r="M103" s="17">
        <f>(1+$M$65)^(-M79)</f>
        <v>0.9975625599567548</v>
      </c>
      <c r="N103" s="17">
        <f>(1+$M$65)^(-N79)</f>
        <v>0.9951310610274741</v>
      </c>
      <c r="O103" s="17">
        <f aca="true" t="shared" si="34" ref="O103:AF103">(1+$M$65)^(-O79)</f>
        <v>0.9927054887310487</v>
      </c>
      <c r="P103" s="17">
        <f t="shared" si="34"/>
        <v>0.9902858286216665</v>
      </c>
      <c r="Q103" s="17">
        <f t="shared" si="34"/>
        <v>0.9878720662887258</v>
      </c>
      <c r="R103" s="17">
        <f t="shared" si="34"/>
        <v>0.9854641873567503</v>
      </c>
      <c r="S103" s="17">
        <f t="shared" si="34"/>
        <v>0.9830621774853031</v>
      </c>
      <c r="T103" s="17">
        <f t="shared" si="34"/>
        <v>0.9806660223689005</v>
      </c>
      <c r="U103" s="17">
        <f t="shared" si="34"/>
        <v>0.9782757077369286</v>
      </c>
      <c r="V103" s="17">
        <f t="shared" si="34"/>
        <v>0.9758912193535568</v>
      </c>
      <c r="W103" s="17">
        <f t="shared" si="34"/>
        <v>0.9758912193535568</v>
      </c>
      <c r="X103" s="17">
        <f t="shared" si="34"/>
        <v>0.9758912193535568</v>
      </c>
      <c r="Y103" s="17">
        <f t="shared" si="34"/>
        <v>0.9758912193535568</v>
      </c>
      <c r="Z103" s="17">
        <f t="shared" si="34"/>
        <v>0.9758912193535568</v>
      </c>
      <c r="AA103" s="17">
        <f t="shared" si="34"/>
        <v>0.9758912193535568</v>
      </c>
      <c r="AB103" s="17">
        <f t="shared" si="34"/>
        <v>0.9758912193535568</v>
      </c>
      <c r="AC103" s="17">
        <f t="shared" si="34"/>
        <v>0.9758912193535568</v>
      </c>
      <c r="AD103" s="17">
        <f t="shared" si="34"/>
        <v>0.9758912193535568</v>
      </c>
      <c r="AE103" s="17">
        <f t="shared" si="34"/>
        <v>0.9758912193535568</v>
      </c>
      <c r="AF103" s="17">
        <f t="shared" si="34"/>
        <v>0.9758912193535568</v>
      </c>
    </row>
    <row r="104" spans="1:32" ht="11.25">
      <c r="A104" s="44" t="s">
        <v>125</v>
      </c>
      <c r="B104" s="44"/>
      <c r="G104">
        <f t="shared" si="28"/>
        <v>2012</v>
      </c>
      <c r="H104" s="3"/>
      <c r="I104" s="77"/>
      <c r="J104" s="16">
        <f t="shared" si="30"/>
        <v>1</v>
      </c>
      <c r="K104" s="16">
        <f t="shared" si="31"/>
        <v>1</v>
      </c>
      <c r="L104" s="17">
        <f t="shared" si="33"/>
        <v>1</v>
      </c>
      <c r="M104" s="17">
        <f aca="true" t="shared" si="35" ref="M104:M122">(1+$M$65)^(-M80)</f>
        <v>1</v>
      </c>
      <c r="N104" s="17">
        <f>(1+$N$65)^(-N80)</f>
        <v>0.9977267598142909</v>
      </c>
      <c r="O104" s="17">
        <f aca="true" t="shared" si="36" ref="O104:AF104">(1+$N$65)^(-O80)</f>
        <v>0.9954586872495238</v>
      </c>
      <c r="P104" s="17">
        <f t="shared" si="36"/>
        <v>0.9931957705584549</v>
      </c>
      <c r="Q104" s="17">
        <f t="shared" si="36"/>
        <v>0.990937998020545</v>
      </c>
      <c r="R104" s="17">
        <f t="shared" si="36"/>
        <v>0.9886853579418986</v>
      </c>
      <c r="S104" s="17">
        <f t="shared" si="36"/>
        <v>0.9864378386552028</v>
      </c>
      <c r="T104" s="17">
        <f t="shared" si="36"/>
        <v>0.9841954285196678</v>
      </c>
      <c r="U104" s="17">
        <f t="shared" si="36"/>
        <v>0.9819581159209657</v>
      </c>
      <c r="V104" s="17">
        <f t="shared" si="36"/>
        <v>0.9797258892711709</v>
      </c>
      <c r="W104" s="17">
        <f t="shared" si="36"/>
        <v>0.9774987370086999</v>
      </c>
      <c r="X104" s="17">
        <f t="shared" si="36"/>
        <v>0.9774987370086999</v>
      </c>
      <c r="Y104" s="17">
        <f t="shared" si="36"/>
        <v>0.9774987370086999</v>
      </c>
      <c r="Z104" s="17">
        <f t="shared" si="36"/>
        <v>0.9774987370086999</v>
      </c>
      <c r="AA104" s="17">
        <f t="shared" si="36"/>
        <v>0.9774987370086999</v>
      </c>
      <c r="AB104" s="17">
        <f t="shared" si="36"/>
        <v>0.9774987370086999</v>
      </c>
      <c r="AC104" s="17">
        <f t="shared" si="36"/>
        <v>0.9774987370086999</v>
      </c>
      <c r="AD104" s="17">
        <f t="shared" si="36"/>
        <v>0.9774987370086999</v>
      </c>
      <c r="AE104" s="17">
        <f t="shared" si="36"/>
        <v>0.9774987370086999</v>
      </c>
      <c r="AF104" s="17">
        <f t="shared" si="36"/>
        <v>0.9774987370086999</v>
      </c>
    </row>
    <row r="105" spans="1:32" ht="11.25">
      <c r="A105" s="44" t="s">
        <v>125</v>
      </c>
      <c r="B105" s="44"/>
      <c r="G105">
        <f t="shared" si="28"/>
        <v>2013</v>
      </c>
      <c r="H105" s="3"/>
      <c r="I105" s="77"/>
      <c r="J105" s="16">
        <f t="shared" si="30"/>
        <v>1</v>
      </c>
      <c r="K105" s="16">
        <f t="shared" si="31"/>
        <v>1</v>
      </c>
      <c r="L105" s="17">
        <f t="shared" si="33"/>
        <v>1</v>
      </c>
      <c r="M105" s="17">
        <f t="shared" si="35"/>
        <v>1</v>
      </c>
      <c r="N105" s="17">
        <f aca="true" t="shared" si="37" ref="N105:N122">(1+$N$65)^(-N81)</f>
        <v>1</v>
      </c>
      <c r="O105" s="17">
        <f>(1+$O$65)^(-O81)</f>
        <v>0.9978735909595873</v>
      </c>
      <c r="P105" s="17">
        <f aca="true" t="shared" si="38" ref="P105:AF105">(1+$O$65)^(-P81)</f>
        <v>0.9957517035345818</v>
      </c>
      <c r="Q105" s="17">
        <f t="shared" si="38"/>
        <v>0.9936343281101795</v>
      </c>
      <c r="R105" s="17">
        <f t="shared" si="38"/>
        <v>0.9915214550920216</v>
      </c>
      <c r="S105" s="17">
        <f t="shared" si="38"/>
        <v>0.9894130749061508</v>
      </c>
      <c r="T105" s="17">
        <f t="shared" si="38"/>
        <v>0.987309177998968</v>
      </c>
      <c r="U105" s="17">
        <f t="shared" si="38"/>
        <v>0.9852097548371884</v>
      </c>
      <c r="V105" s="17">
        <f t="shared" si="38"/>
        <v>0.9831147959078</v>
      </c>
      <c r="W105" s="17">
        <f t="shared" si="38"/>
        <v>0.9810242917180181</v>
      </c>
      <c r="X105" s="17">
        <f t="shared" si="38"/>
        <v>0.9789382327952444</v>
      </c>
      <c r="Y105" s="17">
        <f t="shared" si="38"/>
        <v>0.9789382327952444</v>
      </c>
      <c r="Z105" s="17">
        <f t="shared" si="38"/>
        <v>0.9789382327952444</v>
      </c>
      <c r="AA105" s="17">
        <f t="shared" si="38"/>
        <v>0.9789382327952444</v>
      </c>
      <c r="AB105" s="17">
        <f t="shared" si="38"/>
        <v>0.9789382327952444</v>
      </c>
      <c r="AC105" s="17">
        <f t="shared" si="38"/>
        <v>0.9789382327952444</v>
      </c>
      <c r="AD105" s="17">
        <f t="shared" si="38"/>
        <v>0.9789382327952444</v>
      </c>
      <c r="AE105" s="17">
        <f t="shared" si="38"/>
        <v>0.9789382327952444</v>
      </c>
      <c r="AF105" s="17">
        <f t="shared" si="38"/>
        <v>0.9789382327952444</v>
      </c>
    </row>
    <row r="106" spans="1:32" ht="11.25">
      <c r="A106" s="44" t="s">
        <v>125</v>
      </c>
      <c r="B106" s="44"/>
      <c r="G106">
        <f t="shared" si="28"/>
        <v>2014</v>
      </c>
      <c r="H106" s="3"/>
      <c r="I106" s="77"/>
      <c r="J106" s="16">
        <f t="shared" si="30"/>
        <v>1</v>
      </c>
      <c r="K106" s="16">
        <f t="shared" si="31"/>
        <v>1</v>
      </c>
      <c r="L106" s="17">
        <f t="shared" si="33"/>
        <v>1</v>
      </c>
      <c r="M106" s="17">
        <f t="shared" si="35"/>
        <v>1</v>
      </c>
      <c r="N106" s="17">
        <f t="shared" si="37"/>
        <v>1</v>
      </c>
      <c r="O106" s="17">
        <f aca="true" t="shared" si="39" ref="O106:O122">(1+$O$65)^(-O82)</f>
        <v>1</v>
      </c>
      <c r="P106" s="17">
        <f>(1+$P$65)^(-P82)</f>
        <v>0.9980056667056953</v>
      </c>
      <c r="Q106" s="17">
        <f aca="true" t="shared" si="40" ref="Q106:AF106">(1+$P$65)^(-Q82)</f>
        <v>0.9960153107766797</v>
      </c>
      <c r="R106" s="17">
        <f t="shared" si="40"/>
        <v>0.9940289242807605</v>
      </c>
      <c r="S106" s="17">
        <f t="shared" si="40"/>
        <v>0.9920464993015656</v>
      </c>
      <c r="T106" s="17">
        <f t="shared" si="40"/>
        <v>0.9900680279385102</v>
      </c>
      <c r="U106" s="17">
        <f t="shared" si="40"/>
        <v>0.9880935023067658</v>
      </c>
      <c r="V106" s="17">
        <f t="shared" si="40"/>
        <v>0.9861229145372296</v>
      </c>
      <c r="W106" s="17">
        <f t="shared" si="40"/>
        <v>0.9841562567764911</v>
      </c>
      <c r="X106" s="17">
        <f t="shared" si="40"/>
        <v>0.9821935211868036</v>
      </c>
      <c r="Y106" s="17">
        <f t="shared" si="40"/>
        <v>0.9802346999460505</v>
      </c>
      <c r="Z106" s="17">
        <f t="shared" si="40"/>
        <v>0.9802346999460505</v>
      </c>
      <c r="AA106" s="17">
        <f t="shared" si="40"/>
        <v>0.9802346999460505</v>
      </c>
      <c r="AB106" s="17">
        <f t="shared" si="40"/>
        <v>0.9802346999460505</v>
      </c>
      <c r="AC106" s="17">
        <f t="shared" si="40"/>
        <v>0.9802346999460505</v>
      </c>
      <c r="AD106" s="17">
        <f t="shared" si="40"/>
        <v>0.9802346999460505</v>
      </c>
      <c r="AE106" s="17">
        <f t="shared" si="40"/>
        <v>0.9802346999460505</v>
      </c>
      <c r="AF106" s="17">
        <f t="shared" si="40"/>
        <v>0.9802346999460505</v>
      </c>
    </row>
    <row r="107" spans="1:32" ht="11.25">
      <c r="A107" s="44" t="s">
        <v>125</v>
      </c>
      <c r="B107" s="44"/>
      <c r="G107">
        <f t="shared" si="28"/>
        <v>2015</v>
      </c>
      <c r="H107" s="3"/>
      <c r="I107" s="77"/>
      <c r="J107" s="16">
        <f t="shared" si="30"/>
        <v>1</v>
      </c>
      <c r="K107" s="16">
        <f t="shared" si="31"/>
        <v>1</v>
      </c>
      <c r="L107" s="17">
        <f t="shared" si="33"/>
        <v>1</v>
      </c>
      <c r="M107" s="17">
        <f t="shared" si="35"/>
        <v>1</v>
      </c>
      <c r="N107" s="17">
        <f t="shared" si="37"/>
        <v>1</v>
      </c>
      <c r="O107" s="17">
        <f t="shared" si="39"/>
        <v>1</v>
      </c>
      <c r="P107" s="17">
        <f aca="true" t="shared" si="41" ref="P107:P122">(1+$P$65)^(-P83)</f>
        <v>1</v>
      </c>
      <c r="Q107" s="17">
        <f aca="true" t="shared" si="42" ref="Q107:AF107">(1+$Q$65)^(-Q83)</f>
        <v>0.9981251009847929</v>
      </c>
      <c r="R107" s="17">
        <f t="shared" si="42"/>
        <v>0.996253717215903</v>
      </c>
      <c r="S107" s="17">
        <f t="shared" si="42"/>
        <v>0.9943858421025985</v>
      </c>
      <c r="T107" s="17">
        <f t="shared" si="42"/>
        <v>0.9925214690665046</v>
      </c>
      <c r="U107" s="17">
        <f t="shared" si="42"/>
        <v>0.9906605915415799</v>
      </c>
      <c r="V107" s="17">
        <f t="shared" si="42"/>
        <v>0.9888032029740941</v>
      </c>
      <c r="W107" s="17">
        <f t="shared" si="42"/>
        <v>0.9869492968226042</v>
      </c>
      <c r="X107" s="17">
        <f t="shared" si="42"/>
        <v>0.9850988665579323</v>
      </c>
      <c r="Y107" s="17">
        <f t="shared" si="42"/>
        <v>0.9832519056631412</v>
      </c>
      <c r="Z107" s="17">
        <f t="shared" si="42"/>
        <v>0.9814084076335128</v>
      </c>
      <c r="AA107" s="17">
        <f t="shared" si="42"/>
        <v>0.9814084076335128</v>
      </c>
      <c r="AB107" s="17">
        <f t="shared" si="42"/>
        <v>0.9814084076335128</v>
      </c>
      <c r="AC107" s="17">
        <f t="shared" si="42"/>
        <v>0.9814084076335128</v>
      </c>
      <c r="AD107" s="17">
        <f t="shared" si="42"/>
        <v>0.9814084076335128</v>
      </c>
      <c r="AE107" s="17">
        <f t="shared" si="42"/>
        <v>0.9814084076335128</v>
      </c>
      <c r="AF107" s="17">
        <f t="shared" si="42"/>
        <v>0.9814084076335128</v>
      </c>
    </row>
    <row r="108" spans="1:32" ht="11.25">
      <c r="A108" s="44" t="s">
        <v>125</v>
      </c>
      <c r="B108" s="44"/>
      <c r="G108">
        <f t="shared" si="28"/>
        <v>2016</v>
      </c>
      <c r="J108" s="16">
        <f t="shared" si="30"/>
        <v>1</v>
      </c>
      <c r="K108" s="16">
        <f t="shared" si="31"/>
        <v>1</v>
      </c>
      <c r="L108" s="17">
        <f t="shared" si="33"/>
        <v>1</v>
      </c>
      <c r="M108" s="17">
        <f t="shared" si="35"/>
        <v>1</v>
      </c>
      <c r="N108" s="17">
        <f t="shared" si="37"/>
        <v>1</v>
      </c>
      <c r="O108" s="17">
        <f t="shared" si="39"/>
        <v>1</v>
      </c>
      <c r="P108" s="17">
        <f t="shared" si="41"/>
        <v>1</v>
      </c>
      <c r="Q108" s="17">
        <f aca="true" t="shared" si="43" ref="Q108:Q122">(1+$Q$65)^(-Q84)</f>
        <v>1</v>
      </c>
      <c r="R108" s="17">
        <f>(1+$R$65)^(-R84)</f>
        <v>0.9982336222127959</v>
      </c>
      <c r="S108" s="17">
        <f aca="true" t="shared" si="44" ref="S108:AF108">(1+$R$65)^(-S84)</f>
        <v>0.9964703645160791</v>
      </c>
      <c r="T108" s="17">
        <f t="shared" si="44"/>
        <v>0.9947102213985909</v>
      </c>
      <c r="U108" s="17">
        <f t="shared" si="44"/>
        <v>0.9929531873588076</v>
      </c>
      <c r="V108" s="17">
        <f t="shared" si="44"/>
        <v>0.9911992569049235</v>
      </c>
      <c r="W108" s="17">
        <f t="shared" si="44"/>
        <v>0.9894484245548335</v>
      </c>
      <c r="X108" s="17">
        <f t="shared" si="44"/>
        <v>0.987700684836116</v>
      </c>
      <c r="Y108" s="17">
        <f t="shared" si="44"/>
        <v>0.9859560322860151</v>
      </c>
      <c r="Z108" s="17">
        <f t="shared" si="44"/>
        <v>0.9842144614514253</v>
      </c>
      <c r="AA108" s="17">
        <f t="shared" si="44"/>
        <v>0.9824759668888725</v>
      </c>
      <c r="AB108" s="17">
        <f t="shared" si="44"/>
        <v>0.9824759668888725</v>
      </c>
      <c r="AC108" s="17">
        <f t="shared" si="44"/>
        <v>0.9824759668888725</v>
      </c>
      <c r="AD108" s="17">
        <f t="shared" si="44"/>
        <v>0.9824759668888725</v>
      </c>
      <c r="AE108" s="17">
        <f t="shared" si="44"/>
        <v>0.9824759668888725</v>
      </c>
      <c r="AF108" s="17">
        <f t="shared" si="44"/>
        <v>0.9824759668888725</v>
      </c>
    </row>
    <row r="109" spans="1:32" ht="11.25">
      <c r="A109" s="44" t="s">
        <v>125</v>
      </c>
      <c r="B109" s="44"/>
      <c r="G109">
        <f t="shared" si="28"/>
        <v>2017</v>
      </c>
      <c r="J109" s="16">
        <f t="shared" si="30"/>
        <v>1</v>
      </c>
      <c r="K109" s="16">
        <f t="shared" si="31"/>
        <v>1</v>
      </c>
      <c r="L109" s="17">
        <f t="shared" si="33"/>
        <v>1</v>
      </c>
      <c r="M109" s="17">
        <f t="shared" si="35"/>
        <v>1</v>
      </c>
      <c r="N109" s="17">
        <f t="shared" si="37"/>
        <v>1</v>
      </c>
      <c r="O109" s="17">
        <f t="shared" si="39"/>
        <v>1</v>
      </c>
      <c r="P109" s="17">
        <f t="shared" si="41"/>
        <v>1</v>
      </c>
      <c r="Q109" s="17">
        <f t="shared" si="43"/>
        <v>1</v>
      </c>
      <c r="R109" s="17">
        <f>(1+$R$65)^(-R85)</f>
        <v>1</v>
      </c>
      <c r="S109" s="17">
        <f>(1+$S$65)^(-S85)</f>
        <v>0.9983326573530782</v>
      </c>
      <c r="T109" s="17">
        <f aca="true" t="shared" si="45" ref="T109:AF109">(1+$S$65)^(-T85)</f>
        <v>0.9966680947376586</v>
      </c>
      <c r="U109" s="17">
        <f t="shared" si="45"/>
        <v>0.9950063075184762</v>
      </c>
      <c r="V109" s="17">
        <f t="shared" si="45"/>
        <v>0.9933472910679944</v>
      </c>
      <c r="W109" s="17">
        <f t="shared" si="45"/>
        <v>0.9916910407663925</v>
      </c>
      <c r="X109" s="17">
        <f t="shared" si="45"/>
        <v>0.9900375520015522</v>
      </c>
      <c r="Y109" s="17">
        <f t="shared" si="45"/>
        <v>0.988386820169046</v>
      </c>
      <c r="Z109" s="17">
        <f t="shared" si="45"/>
        <v>0.9867388406721227</v>
      </c>
      <c r="AA109" s="17">
        <f t="shared" si="45"/>
        <v>0.9850936089216958</v>
      </c>
      <c r="AB109" s="17">
        <f t="shared" si="45"/>
        <v>0.9834511203363306</v>
      </c>
      <c r="AC109" s="17">
        <f t="shared" si="45"/>
        <v>0.9834511203363306</v>
      </c>
      <c r="AD109" s="17">
        <f t="shared" si="45"/>
        <v>0.9834511203363306</v>
      </c>
      <c r="AE109" s="17">
        <f t="shared" si="45"/>
        <v>0.9834511203363306</v>
      </c>
      <c r="AF109" s="17">
        <f t="shared" si="45"/>
        <v>0.9834511203363306</v>
      </c>
    </row>
    <row r="110" spans="1:32" ht="11.25">
      <c r="A110" s="44" t="s">
        <v>125</v>
      </c>
      <c r="B110" s="44"/>
      <c r="G110">
        <f t="shared" si="28"/>
        <v>2018</v>
      </c>
      <c r="J110" s="16">
        <f t="shared" si="30"/>
        <v>1</v>
      </c>
      <c r="K110" s="16">
        <f t="shared" si="31"/>
        <v>1</v>
      </c>
      <c r="L110" s="17">
        <f t="shared" si="33"/>
        <v>1</v>
      </c>
      <c r="M110" s="17">
        <f t="shared" si="35"/>
        <v>1</v>
      </c>
      <c r="N110" s="17">
        <f t="shared" si="37"/>
        <v>1</v>
      </c>
      <c r="O110" s="17">
        <f t="shared" si="39"/>
        <v>1</v>
      </c>
      <c r="P110" s="17">
        <f t="shared" si="41"/>
        <v>1</v>
      </c>
      <c r="Q110" s="17">
        <f t="shared" si="43"/>
        <v>1</v>
      </c>
      <c r="R110" s="17">
        <f>(1+$R$65)^(-R86)</f>
        <v>1</v>
      </c>
      <c r="S110" s="17">
        <f>(1+$S$65)^(-S86)</f>
        <v>1</v>
      </c>
      <c r="T110" s="17">
        <f>(1+$T$65)^(-T86)</f>
        <v>0.9984233948997144</v>
      </c>
      <c r="U110" s="17">
        <f aca="true" t="shared" si="46" ref="U110:AF110">(1+$T$65)^(-U86)</f>
        <v>0.9968492754830713</v>
      </c>
      <c r="V110" s="17">
        <f t="shared" si="46"/>
        <v>0.9952776378311289</v>
      </c>
      <c r="W110" s="17">
        <f t="shared" si="46"/>
        <v>0.993708478031124</v>
      </c>
      <c r="X110" s="17">
        <f t="shared" si="46"/>
        <v>0.9921417921764633</v>
      </c>
      <c r="Y110" s="17">
        <f t="shared" si="46"/>
        <v>0.9905775763667114</v>
      </c>
      <c r="Z110" s="17">
        <f t="shared" si="46"/>
        <v>0.9890158267075833</v>
      </c>
      <c r="AA110" s="17">
        <f t="shared" si="46"/>
        <v>0.987456539310933</v>
      </c>
      <c r="AB110" s="17">
        <f t="shared" si="46"/>
        <v>0.9858997102947451</v>
      </c>
      <c r="AC110" s="17">
        <f t="shared" si="46"/>
        <v>0.9843453357831244</v>
      </c>
      <c r="AD110" s="17">
        <f t="shared" si="46"/>
        <v>0.9843453357831244</v>
      </c>
      <c r="AE110" s="17">
        <f t="shared" si="46"/>
        <v>0.9843453357831244</v>
      </c>
      <c r="AF110" s="17">
        <f t="shared" si="46"/>
        <v>0.9843453357831244</v>
      </c>
    </row>
    <row r="111" spans="1:32" ht="11.25">
      <c r="A111" s="44" t="s">
        <v>125</v>
      </c>
      <c r="B111" s="44"/>
      <c r="G111">
        <f t="shared" si="28"/>
        <v>2019</v>
      </c>
      <c r="J111" s="16">
        <f t="shared" si="30"/>
        <v>1</v>
      </c>
      <c r="K111" s="16">
        <f t="shared" si="31"/>
        <v>1</v>
      </c>
      <c r="L111" s="17">
        <f t="shared" si="33"/>
        <v>1</v>
      </c>
      <c r="M111" s="17">
        <f t="shared" si="35"/>
        <v>1</v>
      </c>
      <c r="N111" s="17">
        <f t="shared" si="37"/>
        <v>1</v>
      </c>
      <c r="O111" s="17">
        <f t="shared" si="39"/>
        <v>1</v>
      </c>
      <c r="P111" s="17">
        <f t="shared" si="41"/>
        <v>1</v>
      </c>
      <c r="Q111" s="17">
        <f t="shared" si="43"/>
        <v>1</v>
      </c>
      <c r="R111" s="17">
        <f>(1+$R$65)^(-R87)</f>
        <v>1</v>
      </c>
      <c r="S111" s="17">
        <f>(1+$S$65)^(-S87)</f>
        <v>1</v>
      </c>
      <c r="T111" s="17">
        <f>(1+$T$65)^(-T87)</f>
        <v>1</v>
      </c>
      <c r="U111" s="17">
        <f>(1+$U$65)^(-U87)</f>
        <v>0.9985068327009788</v>
      </c>
      <c r="V111" s="17">
        <f aca="true" t="shared" si="47" ref="V111:AF111">(1+$U$65)^(-V87)</f>
        <v>0.9970158949505405</v>
      </c>
      <c r="W111" s="17">
        <f t="shared" si="47"/>
        <v>0.9955271834195962</v>
      </c>
      <c r="X111" s="17">
        <f t="shared" si="47"/>
        <v>0.9940406947840275</v>
      </c>
      <c r="Y111" s="17">
        <f t="shared" si="47"/>
        <v>0.9925564257246796</v>
      </c>
      <c r="Z111" s="17">
        <f t="shared" si="47"/>
        <v>0.9910743729273543</v>
      </c>
      <c r="AA111" s="17">
        <f t="shared" si="47"/>
        <v>0.9895945330828012</v>
      </c>
      <c r="AB111" s="17">
        <f t="shared" si="47"/>
        <v>0.988116902886712</v>
      </c>
      <c r="AC111" s="17">
        <f t="shared" si="47"/>
        <v>0.9866414790397113</v>
      </c>
      <c r="AD111" s="17">
        <f t="shared" si="47"/>
        <v>0.9851682582473515</v>
      </c>
      <c r="AE111" s="17">
        <f t="shared" si="47"/>
        <v>0.9851682582473515</v>
      </c>
      <c r="AF111" s="17">
        <f t="shared" si="47"/>
        <v>0.9851682582473515</v>
      </c>
    </row>
    <row r="112" spans="1:32" ht="11.25">
      <c r="A112" s="44" t="s">
        <v>125</v>
      </c>
      <c r="B112" s="44"/>
      <c r="G112">
        <f t="shared" si="28"/>
        <v>2020</v>
      </c>
      <c r="J112" s="16">
        <f t="shared" si="30"/>
        <v>1</v>
      </c>
      <c r="K112" s="16">
        <f t="shared" si="31"/>
        <v>1</v>
      </c>
      <c r="L112" s="17">
        <f t="shared" si="33"/>
        <v>1</v>
      </c>
      <c r="M112" s="17">
        <f t="shared" si="35"/>
        <v>1</v>
      </c>
      <c r="N112" s="17">
        <f t="shared" si="37"/>
        <v>1</v>
      </c>
      <c r="O112" s="17">
        <f t="shared" si="39"/>
        <v>1</v>
      </c>
      <c r="P112" s="17">
        <f t="shared" si="41"/>
        <v>1</v>
      </c>
      <c r="Q112" s="17">
        <f t="shared" si="43"/>
        <v>1</v>
      </c>
      <c r="R112" s="17">
        <f>(1+$R$65)^(-R88)</f>
        <v>1</v>
      </c>
      <c r="S112" s="17">
        <f>(1+$S$65)^(-S88)</f>
        <v>1</v>
      </c>
      <c r="T112" s="17">
        <f>(1+$T$65)^(-T88)</f>
        <v>1</v>
      </c>
      <c r="U112" s="17">
        <f>(1+$U$65)^(-U88)</f>
        <v>1</v>
      </c>
      <c r="V112" s="17">
        <f>(1+$V$65)^(-V88)</f>
        <v>0.998583814716435</v>
      </c>
      <c r="W112" s="17">
        <f aca="true" t="shared" si="48" ref="W112:AF112">(1+$V$65)^(-W88)</f>
        <v>0.9971696350136272</v>
      </c>
      <c r="X112" s="17">
        <f t="shared" si="48"/>
        <v>0.9957574580513031</v>
      </c>
      <c r="Y112" s="17">
        <f t="shared" si="48"/>
        <v>0.9943472809932106</v>
      </c>
      <c r="Z112" s="17">
        <f t="shared" si="48"/>
        <v>0.992939101007115</v>
      </c>
      <c r="AA112" s="17">
        <f t="shared" si="48"/>
        <v>0.9915329152647924</v>
      </c>
      <c r="AB112" s="17">
        <f t="shared" si="48"/>
        <v>0.990128720942024</v>
      </c>
      <c r="AC112" s="17">
        <f t="shared" si="48"/>
        <v>0.988726515218591</v>
      </c>
      <c r="AD112" s="17">
        <f t="shared" si="48"/>
        <v>0.9873262952782679</v>
      </c>
      <c r="AE112" s="17">
        <f t="shared" si="48"/>
        <v>0.9859280583088179</v>
      </c>
      <c r="AF112" s="17">
        <f t="shared" si="48"/>
        <v>0.9859280583088179</v>
      </c>
    </row>
    <row r="113" spans="1:32" ht="11.25">
      <c r="A113" s="44" t="s">
        <v>125</v>
      </c>
      <c r="G113">
        <f t="shared" si="28"/>
        <v>2021</v>
      </c>
      <c r="J113" s="16">
        <f t="shared" si="30"/>
        <v>1</v>
      </c>
      <c r="K113" s="16">
        <f t="shared" si="31"/>
        <v>1</v>
      </c>
      <c r="L113" s="17">
        <f t="shared" si="33"/>
        <v>1</v>
      </c>
      <c r="M113" s="17">
        <f t="shared" si="35"/>
        <v>1</v>
      </c>
      <c r="N113" s="17">
        <f t="shared" si="37"/>
        <v>1</v>
      </c>
      <c r="O113" s="17">
        <f t="shared" si="39"/>
        <v>1</v>
      </c>
      <c r="P113" s="17">
        <f t="shared" si="41"/>
        <v>1</v>
      </c>
      <c r="Q113" s="17">
        <f t="shared" si="43"/>
        <v>1</v>
      </c>
      <c r="R113" s="17">
        <f aca="true" t="shared" si="49" ref="R113:R122">(1+$R$65)^(-R89)</f>
        <v>1</v>
      </c>
      <c r="S113" s="17">
        <f aca="true" t="shared" si="50" ref="S113:S122">(1+$S$65)^(-S89)</f>
        <v>1</v>
      </c>
      <c r="T113" s="17">
        <f aca="true" t="shared" si="51" ref="T113:T122">(1+$T$65)^(-T89)</f>
        <v>1</v>
      </c>
      <c r="U113" s="17">
        <f aca="true" t="shared" si="52" ref="U113:U122">(1+$U$65)^(-U89)</f>
        <v>1</v>
      </c>
      <c r="V113" s="17">
        <f aca="true" t="shared" si="53" ref="V113:AF122">(1+$V$65)^(-V89)</f>
        <v>1</v>
      </c>
      <c r="W113" s="17">
        <f t="shared" si="53"/>
        <v>0.998583814716435</v>
      </c>
      <c r="X113" s="17">
        <f t="shared" si="53"/>
        <v>0.9971696350136272</v>
      </c>
      <c r="Y113" s="17">
        <f t="shared" si="53"/>
        <v>0.9957574580513031</v>
      </c>
      <c r="Z113" s="17">
        <f t="shared" si="53"/>
        <v>0.9943472809932106</v>
      </c>
      <c r="AA113" s="17">
        <f t="shared" si="53"/>
        <v>0.992939101007115</v>
      </c>
      <c r="AB113" s="17">
        <f t="shared" si="53"/>
        <v>0.9915329152647924</v>
      </c>
      <c r="AC113" s="17">
        <f t="shared" si="53"/>
        <v>0.990128720942024</v>
      </c>
      <c r="AD113" s="17">
        <f t="shared" si="53"/>
        <v>0.988726515218591</v>
      </c>
      <c r="AE113" s="17">
        <f t="shared" si="53"/>
        <v>0.9873262952782679</v>
      </c>
      <c r="AF113" s="17">
        <f t="shared" si="53"/>
        <v>0.9859280583088179</v>
      </c>
    </row>
    <row r="114" spans="1:32" ht="11.25">
      <c r="A114" s="44" t="s">
        <v>125</v>
      </c>
      <c r="G114">
        <f t="shared" si="28"/>
        <v>2022</v>
      </c>
      <c r="J114" s="16">
        <f t="shared" si="30"/>
        <v>1</v>
      </c>
      <c r="K114" s="16">
        <f t="shared" si="31"/>
        <v>1</v>
      </c>
      <c r="L114" s="17">
        <f t="shared" si="33"/>
        <v>1</v>
      </c>
      <c r="M114" s="17">
        <f t="shared" si="35"/>
        <v>1</v>
      </c>
      <c r="N114" s="17">
        <f t="shared" si="37"/>
        <v>1</v>
      </c>
      <c r="O114" s="17">
        <f t="shared" si="39"/>
        <v>1</v>
      </c>
      <c r="P114" s="17">
        <f t="shared" si="41"/>
        <v>1</v>
      </c>
      <c r="Q114" s="17">
        <f t="shared" si="43"/>
        <v>1</v>
      </c>
      <c r="R114" s="17">
        <f t="shared" si="49"/>
        <v>1</v>
      </c>
      <c r="S114" s="17">
        <f t="shared" si="50"/>
        <v>1</v>
      </c>
      <c r="T114" s="17">
        <f t="shared" si="51"/>
        <v>1</v>
      </c>
      <c r="U114" s="17">
        <f t="shared" si="52"/>
        <v>1</v>
      </c>
      <c r="V114" s="17">
        <f t="shared" si="53"/>
        <v>1</v>
      </c>
      <c r="W114" s="17">
        <f t="shared" si="53"/>
        <v>1</v>
      </c>
      <c r="X114" s="17">
        <f t="shared" si="53"/>
        <v>0.998583814716435</v>
      </c>
      <c r="Y114" s="17">
        <f t="shared" si="53"/>
        <v>0.9971696350136272</v>
      </c>
      <c r="Z114" s="17">
        <f t="shared" si="53"/>
        <v>0.9957574580513031</v>
      </c>
      <c r="AA114" s="17">
        <f t="shared" si="53"/>
        <v>0.9943472809932106</v>
      </c>
      <c r="AB114" s="17">
        <f t="shared" si="53"/>
        <v>0.992939101007115</v>
      </c>
      <c r="AC114" s="17">
        <f t="shared" si="53"/>
        <v>0.9915329152647924</v>
      </c>
      <c r="AD114" s="17">
        <f t="shared" si="53"/>
        <v>0.990128720942024</v>
      </c>
      <c r="AE114" s="17">
        <f t="shared" si="53"/>
        <v>0.988726515218591</v>
      </c>
      <c r="AF114" s="17">
        <f t="shared" si="53"/>
        <v>0.9873262952782679</v>
      </c>
    </row>
    <row r="115" spans="1:32" ht="11.25">
      <c r="A115" s="44" t="s">
        <v>125</v>
      </c>
      <c r="G115">
        <f t="shared" si="28"/>
        <v>2023</v>
      </c>
      <c r="J115" s="16">
        <f t="shared" si="30"/>
        <v>1</v>
      </c>
      <c r="K115" s="16">
        <f t="shared" si="31"/>
        <v>1</v>
      </c>
      <c r="L115" s="17">
        <f t="shared" si="33"/>
        <v>1</v>
      </c>
      <c r="M115" s="17">
        <f t="shared" si="35"/>
        <v>1</v>
      </c>
      <c r="N115" s="17">
        <f t="shared" si="37"/>
        <v>1</v>
      </c>
      <c r="O115" s="17">
        <f t="shared" si="39"/>
        <v>1</v>
      </c>
      <c r="P115" s="17">
        <f t="shared" si="41"/>
        <v>1</v>
      </c>
      <c r="Q115" s="17">
        <f t="shared" si="43"/>
        <v>1</v>
      </c>
      <c r="R115" s="17">
        <f t="shared" si="49"/>
        <v>1</v>
      </c>
      <c r="S115" s="17">
        <f t="shared" si="50"/>
        <v>1</v>
      </c>
      <c r="T115" s="17">
        <f t="shared" si="51"/>
        <v>1</v>
      </c>
      <c r="U115" s="17">
        <f t="shared" si="52"/>
        <v>1</v>
      </c>
      <c r="V115" s="17">
        <f t="shared" si="53"/>
        <v>1</v>
      </c>
      <c r="W115" s="17">
        <f t="shared" si="53"/>
        <v>1</v>
      </c>
      <c r="X115" s="17">
        <f t="shared" si="53"/>
        <v>1</v>
      </c>
      <c r="Y115" s="17">
        <f t="shared" si="53"/>
        <v>0.998583814716435</v>
      </c>
      <c r="Z115" s="17">
        <f t="shared" si="53"/>
        <v>0.9971696350136272</v>
      </c>
      <c r="AA115" s="17">
        <f t="shared" si="53"/>
        <v>0.9957574580513031</v>
      </c>
      <c r="AB115" s="17">
        <f t="shared" si="53"/>
        <v>0.9943472809932106</v>
      </c>
      <c r="AC115" s="17">
        <f t="shared" si="53"/>
        <v>0.992939101007115</v>
      </c>
      <c r="AD115" s="17">
        <f t="shared" si="53"/>
        <v>0.9915329152647924</v>
      </c>
      <c r="AE115" s="17">
        <f t="shared" si="53"/>
        <v>0.990128720942024</v>
      </c>
      <c r="AF115" s="17">
        <f t="shared" si="53"/>
        <v>0.988726515218591</v>
      </c>
    </row>
    <row r="116" spans="1:32" ht="11.25">
      <c r="A116" s="44" t="s">
        <v>125</v>
      </c>
      <c r="G116">
        <f t="shared" si="28"/>
        <v>2024</v>
      </c>
      <c r="J116" s="16">
        <f t="shared" si="30"/>
        <v>1</v>
      </c>
      <c r="K116" s="16">
        <f t="shared" si="31"/>
        <v>1</v>
      </c>
      <c r="L116" s="17">
        <f t="shared" si="33"/>
        <v>1</v>
      </c>
      <c r="M116" s="17">
        <f t="shared" si="35"/>
        <v>1</v>
      </c>
      <c r="N116" s="17">
        <f t="shared" si="37"/>
        <v>1</v>
      </c>
      <c r="O116" s="17">
        <f t="shared" si="39"/>
        <v>1</v>
      </c>
      <c r="P116" s="17">
        <f t="shared" si="41"/>
        <v>1</v>
      </c>
      <c r="Q116" s="17">
        <f t="shared" si="43"/>
        <v>1</v>
      </c>
      <c r="R116" s="17">
        <f t="shared" si="49"/>
        <v>1</v>
      </c>
      <c r="S116" s="17">
        <f t="shared" si="50"/>
        <v>1</v>
      </c>
      <c r="T116" s="17">
        <f t="shared" si="51"/>
        <v>1</v>
      </c>
      <c r="U116" s="17">
        <f t="shared" si="52"/>
        <v>1</v>
      </c>
      <c r="V116" s="17">
        <f t="shared" si="53"/>
        <v>1</v>
      </c>
      <c r="W116" s="17">
        <f t="shared" si="53"/>
        <v>1</v>
      </c>
      <c r="X116" s="17">
        <f t="shared" si="53"/>
        <v>1</v>
      </c>
      <c r="Y116" s="17">
        <f t="shared" si="53"/>
        <v>1</v>
      </c>
      <c r="Z116" s="17">
        <f t="shared" si="53"/>
        <v>0.998583814716435</v>
      </c>
      <c r="AA116" s="17">
        <f t="shared" si="53"/>
        <v>0.9971696350136272</v>
      </c>
      <c r="AB116" s="17">
        <f t="shared" si="53"/>
        <v>0.9957574580513031</v>
      </c>
      <c r="AC116" s="17">
        <f t="shared" si="53"/>
        <v>0.9943472809932106</v>
      </c>
      <c r="AD116" s="17">
        <f t="shared" si="53"/>
        <v>0.992939101007115</v>
      </c>
      <c r="AE116" s="17">
        <f t="shared" si="53"/>
        <v>0.9915329152647924</v>
      </c>
      <c r="AF116" s="17">
        <f t="shared" si="53"/>
        <v>0.990128720942024</v>
      </c>
    </row>
    <row r="117" spans="1:32" ht="11.25">
      <c r="A117" s="44" t="s">
        <v>125</v>
      </c>
      <c r="G117">
        <f t="shared" si="28"/>
        <v>2025</v>
      </c>
      <c r="J117" s="16">
        <f t="shared" si="30"/>
        <v>1</v>
      </c>
      <c r="K117" s="16">
        <f t="shared" si="31"/>
        <v>1</v>
      </c>
      <c r="L117" s="17">
        <f t="shared" si="33"/>
        <v>1</v>
      </c>
      <c r="M117" s="17">
        <f t="shared" si="35"/>
        <v>1</v>
      </c>
      <c r="N117" s="17">
        <f t="shared" si="37"/>
        <v>1</v>
      </c>
      <c r="O117" s="17">
        <f t="shared" si="39"/>
        <v>1</v>
      </c>
      <c r="P117" s="17">
        <f t="shared" si="41"/>
        <v>1</v>
      </c>
      <c r="Q117" s="17">
        <f t="shared" si="43"/>
        <v>1</v>
      </c>
      <c r="R117" s="17">
        <f t="shared" si="49"/>
        <v>1</v>
      </c>
      <c r="S117" s="17">
        <f t="shared" si="50"/>
        <v>1</v>
      </c>
      <c r="T117" s="17">
        <f t="shared" si="51"/>
        <v>1</v>
      </c>
      <c r="U117" s="17">
        <f t="shared" si="52"/>
        <v>1</v>
      </c>
      <c r="V117" s="17">
        <f t="shared" si="53"/>
        <v>1</v>
      </c>
      <c r="W117" s="17">
        <f t="shared" si="53"/>
        <v>1</v>
      </c>
      <c r="X117" s="17">
        <f t="shared" si="53"/>
        <v>1</v>
      </c>
      <c r="Y117" s="17">
        <f t="shared" si="53"/>
        <v>1</v>
      </c>
      <c r="Z117" s="17">
        <f t="shared" si="53"/>
        <v>1</v>
      </c>
      <c r="AA117" s="17">
        <f t="shared" si="53"/>
        <v>0.998583814716435</v>
      </c>
      <c r="AB117" s="17">
        <f t="shared" si="53"/>
        <v>0.9971696350136272</v>
      </c>
      <c r="AC117" s="17">
        <f t="shared" si="53"/>
        <v>0.9957574580513031</v>
      </c>
      <c r="AD117" s="17">
        <f t="shared" si="53"/>
        <v>0.9943472809932106</v>
      </c>
      <c r="AE117" s="17">
        <f t="shared" si="53"/>
        <v>0.992939101007115</v>
      </c>
      <c r="AF117" s="17">
        <f t="shared" si="53"/>
        <v>0.9915329152647924</v>
      </c>
    </row>
    <row r="118" spans="1:32" ht="11.25">
      <c r="A118" s="44" t="s">
        <v>125</v>
      </c>
      <c r="G118">
        <f t="shared" si="28"/>
        <v>2026</v>
      </c>
      <c r="J118" s="16">
        <f t="shared" si="30"/>
        <v>1</v>
      </c>
      <c r="K118" s="16">
        <f t="shared" si="31"/>
        <v>1</v>
      </c>
      <c r="L118" s="17">
        <f t="shared" si="33"/>
        <v>1</v>
      </c>
      <c r="M118" s="17">
        <f t="shared" si="35"/>
        <v>1</v>
      </c>
      <c r="N118" s="17">
        <f t="shared" si="37"/>
        <v>1</v>
      </c>
      <c r="O118" s="17">
        <f t="shared" si="39"/>
        <v>1</v>
      </c>
      <c r="P118" s="17">
        <f t="shared" si="41"/>
        <v>1</v>
      </c>
      <c r="Q118" s="17">
        <f t="shared" si="43"/>
        <v>1</v>
      </c>
      <c r="R118" s="17">
        <f t="shared" si="49"/>
        <v>1</v>
      </c>
      <c r="S118" s="17">
        <f t="shared" si="50"/>
        <v>1</v>
      </c>
      <c r="T118" s="17">
        <f t="shared" si="51"/>
        <v>1</v>
      </c>
      <c r="U118" s="17">
        <f t="shared" si="52"/>
        <v>1</v>
      </c>
      <c r="V118" s="17">
        <f t="shared" si="53"/>
        <v>1</v>
      </c>
      <c r="W118" s="17">
        <f t="shared" si="53"/>
        <v>1</v>
      </c>
      <c r="X118" s="17">
        <f t="shared" si="53"/>
        <v>1</v>
      </c>
      <c r="Y118" s="17">
        <f t="shared" si="53"/>
        <v>1</v>
      </c>
      <c r="Z118" s="17">
        <f t="shared" si="53"/>
        <v>1</v>
      </c>
      <c r="AA118" s="17">
        <f t="shared" si="53"/>
        <v>1</v>
      </c>
      <c r="AB118" s="17">
        <f t="shared" si="53"/>
        <v>0.998583814716435</v>
      </c>
      <c r="AC118" s="17">
        <f t="shared" si="53"/>
        <v>0.9971696350136272</v>
      </c>
      <c r="AD118" s="17">
        <f t="shared" si="53"/>
        <v>0.9957574580513031</v>
      </c>
      <c r="AE118" s="17">
        <f t="shared" si="53"/>
        <v>0.9943472809932106</v>
      </c>
      <c r="AF118" s="17">
        <f t="shared" si="53"/>
        <v>0.992939101007115</v>
      </c>
    </row>
    <row r="119" spans="1:32" ht="11.25">
      <c r="A119" s="44" t="s">
        <v>125</v>
      </c>
      <c r="G119">
        <f t="shared" si="28"/>
        <v>2027</v>
      </c>
      <c r="J119" s="16">
        <f t="shared" si="30"/>
        <v>1</v>
      </c>
      <c r="K119" s="16">
        <f t="shared" si="31"/>
        <v>1</v>
      </c>
      <c r="L119" s="17">
        <f t="shared" si="33"/>
        <v>1</v>
      </c>
      <c r="M119" s="17">
        <f t="shared" si="35"/>
        <v>1</v>
      </c>
      <c r="N119" s="17">
        <f t="shared" si="37"/>
        <v>1</v>
      </c>
      <c r="O119" s="17">
        <f t="shared" si="39"/>
        <v>1</v>
      </c>
      <c r="P119" s="17">
        <f t="shared" si="41"/>
        <v>1</v>
      </c>
      <c r="Q119" s="17">
        <f t="shared" si="43"/>
        <v>1</v>
      </c>
      <c r="R119" s="17">
        <f t="shared" si="49"/>
        <v>1</v>
      </c>
      <c r="S119" s="17">
        <f t="shared" si="50"/>
        <v>1</v>
      </c>
      <c r="T119" s="17">
        <f t="shared" si="51"/>
        <v>1</v>
      </c>
      <c r="U119" s="17">
        <f t="shared" si="52"/>
        <v>1</v>
      </c>
      <c r="V119" s="17">
        <f t="shared" si="53"/>
        <v>1</v>
      </c>
      <c r="W119" s="17">
        <f t="shared" si="53"/>
        <v>1</v>
      </c>
      <c r="X119" s="17">
        <f t="shared" si="53"/>
        <v>1</v>
      </c>
      <c r="Y119" s="17">
        <f t="shared" si="53"/>
        <v>1</v>
      </c>
      <c r="Z119" s="17">
        <f t="shared" si="53"/>
        <v>1</v>
      </c>
      <c r="AA119" s="17">
        <f t="shared" si="53"/>
        <v>1</v>
      </c>
      <c r="AB119" s="17">
        <f t="shared" si="53"/>
        <v>1</v>
      </c>
      <c r="AC119" s="17">
        <f t="shared" si="53"/>
        <v>0.998583814716435</v>
      </c>
      <c r="AD119" s="17">
        <f t="shared" si="53"/>
        <v>0.9971696350136272</v>
      </c>
      <c r="AE119" s="17">
        <f t="shared" si="53"/>
        <v>0.9957574580513031</v>
      </c>
      <c r="AF119" s="17">
        <f t="shared" si="53"/>
        <v>0.9943472809932106</v>
      </c>
    </row>
    <row r="120" spans="1:32" ht="11.25">
      <c r="A120" s="44" t="s">
        <v>125</v>
      </c>
      <c r="G120">
        <f t="shared" si="28"/>
        <v>2028</v>
      </c>
      <c r="J120" s="16">
        <f t="shared" si="30"/>
        <v>1</v>
      </c>
      <c r="K120" s="16">
        <f t="shared" si="31"/>
        <v>1</v>
      </c>
      <c r="L120" s="17">
        <f t="shared" si="33"/>
        <v>1</v>
      </c>
      <c r="M120" s="17">
        <f t="shared" si="35"/>
        <v>1</v>
      </c>
      <c r="N120" s="17">
        <f t="shared" si="37"/>
        <v>1</v>
      </c>
      <c r="O120" s="17">
        <f t="shared" si="39"/>
        <v>1</v>
      </c>
      <c r="P120" s="17">
        <f t="shared" si="41"/>
        <v>1</v>
      </c>
      <c r="Q120" s="17">
        <f t="shared" si="43"/>
        <v>1</v>
      </c>
      <c r="R120" s="17">
        <f t="shared" si="49"/>
        <v>1</v>
      </c>
      <c r="S120" s="17">
        <f t="shared" si="50"/>
        <v>1</v>
      </c>
      <c r="T120" s="17">
        <f t="shared" si="51"/>
        <v>1</v>
      </c>
      <c r="U120" s="17">
        <f t="shared" si="52"/>
        <v>1</v>
      </c>
      <c r="V120" s="17">
        <f t="shared" si="53"/>
        <v>1</v>
      </c>
      <c r="W120" s="17">
        <f t="shared" si="53"/>
        <v>1</v>
      </c>
      <c r="X120" s="17">
        <f t="shared" si="53"/>
        <v>1</v>
      </c>
      <c r="Y120" s="17">
        <f t="shared" si="53"/>
        <v>1</v>
      </c>
      <c r="Z120" s="17">
        <f t="shared" si="53"/>
        <v>1</v>
      </c>
      <c r="AA120" s="17">
        <f t="shared" si="53"/>
        <v>1</v>
      </c>
      <c r="AB120" s="17">
        <f t="shared" si="53"/>
        <v>1</v>
      </c>
      <c r="AC120" s="17">
        <f t="shared" si="53"/>
        <v>1</v>
      </c>
      <c r="AD120" s="17">
        <f t="shared" si="53"/>
        <v>0.998583814716435</v>
      </c>
      <c r="AE120" s="17">
        <f t="shared" si="53"/>
        <v>0.9971696350136272</v>
      </c>
      <c r="AF120" s="17">
        <f t="shared" si="53"/>
        <v>0.9957574580513031</v>
      </c>
    </row>
    <row r="121" spans="1:32" ht="11.25">
      <c r="A121" s="44" t="s">
        <v>125</v>
      </c>
      <c r="G121">
        <f t="shared" si="28"/>
        <v>2029</v>
      </c>
      <c r="J121" s="16">
        <f t="shared" si="30"/>
        <v>1</v>
      </c>
      <c r="K121" s="16">
        <f t="shared" si="31"/>
        <v>1</v>
      </c>
      <c r="L121" s="17">
        <f t="shared" si="33"/>
        <v>1</v>
      </c>
      <c r="M121" s="17">
        <f t="shared" si="35"/>
        <v>1</v>
      </c>
      <c r="N121" s="17">
        <f t="shared" si="37"/>
        <v>1</v>
      </c>
      <c r="O121" s="17">
        <f t="shared" si="39"/>
        <v>1</v>
      </c>
      <c r="P121" s="17">
        <f t="shared" si="41"/>
        <v>1</v>
      </c>
      <c r="Q121" s="17">
        <f t="shared" si="43"/>
        <v>1</v>
      </c>
      <c r="R121" s="17">
        <f t="shared" si="49"/>
        <v>1</v>
      </c>
      <c r="S121" s="17">
        <f t="shared" si="50"/>
        <v>1</v>
      </c>
      <c r="T121" s="17">
        <f t="shared" si="51"/>
        <v>1</v>
      </c>
      <c r="U121" s="17">
        <f t="shared" si="52"/>
        <v>1</v>
      </c>
      <c r="V121" s="17">
        <f t="shared" si="53"/>
        <v>1</v>
      </c>
      <c r="W121" s="17">
        <f t="shared" si="53"/>
        <v>1</v>
      </c>
      <c r="X121" s="17">
        <f t="shared" si="53"/>
        <v>1</v>
      </c>
      <c r="Y121" s="17">
        <f t="shared" si="53"/>
        <v>1</v>
      </c>
      <c r="Z121" s="17">
        <f t="shared" si="53"/>
        <v>1</v>
      </c>
      <c r="AA121" s="17">
        <f t="shared" si="53"/>
        <v>1</v>
      </c>
      <c r="AB121" s="17">
        <f t="shared" si="53"/>
        <v>1</v>
      </c>
      <c r="AC121" s="17">
        <f t="shared" si="53"/>
        <v>1</v>
      </c>
      <c r="AD121" s="17">
        <f t="shared" si="53"/>
        <v>1</v>
      </c>
      <c r="AE121" s="17">
        <f t="shared" si="53"/>
        <v>0.998583814716435</v>
      </c>
      <c r="AF121" s="17">
        <f t="shared" si="53"/>
        <v>0.9971696350136272</v>
      </c>
    </row>
    <row r="122" spans="1:32" ht="11.25">
      <c r="A122" s="44" t="s">
        <v>125</v>
      </c>
      <c r="G122">
        <f t="shared" si="28"/>
        <v>2030</v>
      </c>
      <c r="J122" s="16">
        <f t="shared" si="30"/>
        <v>1</v>
      </c>
      <c r="K122" s="16">
        <f t="shared" si="31"/>
        <v>1</v>
      </c>
      <c r="L122" s="17">
        <f t="shared" si="33"/>
        <v>1</v>
      </c>
      <c r="M122" s="17">
        <f t="shared" si="35"/>
        <v>1</v>
      </c>
      <c r="N122" s="17">
        <f t="shared" si="37"/>
        <v>1</v>
      </c>
      <c r="O122" s="17">
        <f t="shared" si="39"/>
        <v>1</v>
      </c>
      <c r="P122" s="17">
        <f t="shared" si="41"/>
        <v>1</v>
      </c>
      <c r="Q122" s="17">
        <f t="shared" si="43"/>
        <v>1</v>
      </c>
      <c r="R122" s="17">
        <f t="shared" si="49"/>
        <v>1</v>
      </c>
      <c r="S122" s="17">
        <f t="shared" si="50"/>
        <v>1</v>
      </c>
      <c r="T122" s="17">
        <f t="shared" si="51"/>
        <v>1</v>
      </c>
      <c r="U122" s="17">
        <f t="shared" si="52"/>
        <v>1</v>
      </c>
      <c r="V122" s="17">
        <f t="shared" si="53"/>
        <v>1</v>
      </c>
      <c r="W122" s="17">
        <f t="shared" si="53"/>
        <v>1</v>
      </c>
      <c r="X122" s="17">
        <f t="shared" si="53"/>
        <v>1</v>
      </c>
      <c r="Y122" s="17">
        <f t="shared" si="53"/>
        <v>1</v>
      </c>
      <c r="Z122" s="17">
        <f t="shared" si="53"/>
        <v>1</v>
      </c>
      <c r="AA122" s="17">
        <f t="shared" si="53"/>
        <v>1</v>
      </c>
      <c r="AB122" s="17">
        <f t="shared" si="53"/>
        <v>1</v>
      </c>
      <c r="AC122" s="17">
        <f t="shared" si="53"/>
        <v>1</v>
      </c>
      <c r="AD122" s="17">
        <f t="shared" si="53"/>
        <v>1</v>
      </c>
      <c r="AE122" s="17">
        <f t="shared" si="53"/>
        <v>1</v>
      </c>
      <c r="AF122" s="17">
        <f t="shared" si="53"/>
        <v>0.998583814716435</v>
      </c>
    </row>
    <row r="124" spans="1:32" ht="11.25">
      <c r="A124" t="s">
        <v>126</v>
      </c>
      <c r="J124" s="42">
        <f aca="true" t="shared" si="54" ref="J124:AF124">1-J100*J101*J102*J103*J104*J105*J106*J107*J108*J109*J110*J111*J112</f>
        <v>0.0030716408490090163</v>
      </c>
      <c r="K124" s="42">
        <f t="shared" si="54"/>
        <v>0.008948375984382029</v>
      </c>
      <c r="L124" s="42">
        <f t="shared" si="54"/>
        <v>0.01737396204901298</v>
      </c>
      <c r="M124" s="42">
        <f t="shared" si="54"/>
        <v>0.028102646416670263</v>
      </c>
      <c r="N124" s="42">
        <f t="shared" si="54"/>
        <v>0.040899424463854195</v>
      </c>
      <c r="O124" s="42">
        <f t="shared" si="54"/>
        <v>0.05554029712839559</v>
      </c>
      <c r="P124" s="42">
        <f t="shared" si="54"/>
        <v>0.0718124881586435</v>
      </c>
      <c r="Q124" s="42">
        <f t="shared" si="54"/>
        <v>0.08951459875080248</v>
      </c>
      <c r="R124" s="42">
        <f t="shared" si="54"/>
        <v>0.10845668897992022</v>
      </c>
      <c r="S124" s="42">
        <f t="shared" si="54"/>
        <v>0.1284602829351651</v>
      </c>
      <c r="T124" s="42">
        <f t="shared" si="54"/>
        <v>0.14673738292916239</v>
      </c>
      <c r="U124" s="42">
        <f t="shared" si="54"/>
        <v>0.16350968170967628</v>
      </c>
      <c r="V124" s="42">
        <f t="shared" si="54"/>
        <v>0.1789606389836037</v>
      </c>
      <c r="W124" s="42">
        <f t="shared" si="54"/>
        <v>0.19215713039568183</v>
      </c>
      <c r="X124" s="42">
        <f t="shared" si="54"/>
        <v>0.20333049466023878</v>
      </c>
      <c r="Y124" s="42">
        <f t="shared" si="54"/>
        <v>0.21267514419415634</v>
      </c>
      <c r="Z124" s="42">
        <f t="shared" si="54"/>
        <v>0.22035531296039756</v>
      </c>
      <c r="AA124" s="42">
        <f t="shared" si="54"/>
        <v>0.22651034850105933</v>
      </c>
      <c r="AB124" s="42">
        <f t="shared" si="54"/>
        <v>0.2312589048884105</v>
      </c>
      <c r="AC124" s="42">
        <f t="shared" si="54"/>
        <v>0.23470229575332835</v>
      </c>
      <c r="AD124" s="42">
        <f t="shared" si="54"/>
        <v>0.23692719830591036</v>
      </c>
      <c r="AE124" s="42">
        <f t="shared" si="54"/>
        <v>0.23800785077795827</v>
      </c>
      <c r="AF124" s="42">
        <f t="shared" si="54"/>
        <v>0.23800785077795827</v>
      </c>
    </row>
    <row r="126" spans="1:3" ht="12">
      <c r="A126" s="9" t="s">
        <v>76</v>
      </c>
      <c r="C126" t="s">
        <v>12</v>
      </c>
    </row>
    <row r="128" spans="1:7" ht="11.25">
      <c r="A128" s="155" t="s">
        <v>13</v>
      </c>
      <c r="B128" s="155"/>
      <c r="C128" s="155"/>
      <c r="D128" s="155"/>
      <c r="E128" s="155"/>
      <c r="F128" s="155"/>
      <c r="G128" s="155"/>
    </row>
    <row r="129" spans="1:7" ht="11.25">
      <c r="A129" s="155"/>
      <c r="B129" s="155"/>
      <c r="C129" s="155"/>
      <c r="D129" s="155"/>
      <c r="E129" s="155"/>
      <c r="F129" s="155"/>
      <c r="G129" s="155"/>
    </row>
    <row r="131" spans="1:6" ht="11.25">
      <c r="A131" s="14" t="s">
        <v>79</v>
      </c>
      <c r="E131" s="13"/>
      <c r="F131" s="13">
        <v>2020</v>
      </c>
    </row>
    <row r="133" spans="1:6" ht="11.25">
      <c r="A133" t="s">
        <v>91</v>
      </c>
      <c r="F133" s="52">
        <f>V39</f>
        <v>43463.033467934285</v>
      </c>
    </row>
    <row r="134" spans="1:6" ht="11.25">
      <c r="A134" t="s">
        <v>92</v>
      </c>
      <c r="F134" s="52">
        <f>V57</f>
        <v>35684.86122634701</v>
      </c>
    </row>
    <row r="135" spans="1:9" s="14" customFormat="1" ht="9.75">
      <c r="A135" s="14" t="s">
        <v>148</v>
      </c>
      <c r="F135" s="53">
        <f>F134/F133</f>
        <v>0.8210393610163963</v>
      </c>
      <c r="I135" s="79"/>
    </row>
    <row r="137" spans="1:6" ht="11.25">
      <c r="A137" t="s">
        <v>117</v>
      </c>
      <c r="F137" s="24">
        <f>G52</f>
        <v>128.33333333333331</v>
      </c>
    </row>
    <row r="138" spans="1:6" ht="11.25">
      <c r="A138" t="s">
        <v>118</v>
      </c>
      <c r="F138" s="24">
        <f>V52</f>
        <v>111.11710075626299</v>
      </c>
    </row>
    <row r="139" spans="1:9" s="14" customFormat="1" ht="9.75">
      <c r="A139" s="14" t="s">
        <v>148</v>
      </c>
      <c r="F139" s="53">
        <f>F138/F137</f>
        <v>0.8658475383604909</v>
      </c>
      <c r="I139" s="79"/>
    </row>
    <row r="140" ht="11.25">
      <c r="F140" s="24"/>
    </row>
    <row r="141" spans="1:6" ht="11.25">
      <c r="A141" s="3" t="s">
        <v>84</v>
      </c>
      <c r="F141" s="24"/>
    </row>
    <row r="142" spans="1:6" ht="11.25">
      <c r="A142" t="s">
        <v>81</v>
      </c>
      <c r="F142" s="24">
        <f>V42</f>
        <v>2529.5945404617833</v>
      </c>
    </row>
    <row r="143" spans="1:6" ht="11.25">
      <c r="A143" t="s">
        <v>83</v>
      </c>
      <c r="F143" s="24">
        <f>V58</f>
        <v>1798.2758822500061</v>
      </c>
    </row>
    <row r="144" spans="1:6" ht="11.25">
      <c r="A144" s="14" t="s">
        <v>148</v>
      </c>
      <c r="B144" s="14"/>
      <c r="C144" s="14"/>
      <c r="D144" s="14"/>
      <c r="E144" s="14"/>
      <c r="F144" s="102">
        <f>F143/F142</f>
        <v>0.7108949096331172</v>
      </c>
    </row>
    <row r="145" ht="11.25">
      <c r="F145" s="24"/>
    </row>
    <row r="146" spans="1:6" ht="11.25">
      <c r="A146" s="14" t="s">
        <v>147</v>
      </c>
      <c r="B146" s="14"/>
      <c r="C146" s="14"/>
      <c r="D146" s="14"/>
      <c r="E146" s="14"/>
      <c r="F146" s="102">
        <f>F139*F135</f>
        <v>0.7108949096331171</v>
      </c>
    </row>
    <row r="147" ht="11.25">
      <c r="F147" s="24"/>
    </row>
    <row r="148" spans="1:6" ht="11.25">
      <c r="A148" t="s">
        <v>85</v>
      </c>
      <c r="F148" s="24"/>
    </row>
    <row r="149" spans="1:6" ht="11.25">
      <c r="A149" t="s">
        <v>86</v>
      </c>
      <c r="F149" s="7">
        <f>(1-F135)/(1-F139)</f>
        <v>1.334009356194312</v>
      </c>
    </row>
    <row r="151" spans="1:6" ht="12">
      <c r="A151" s="54" t="s">
        <v>87</v>
      </c>
      <c r="B151" s="55"/>
      <c r="C151" s="55"/>
      <c r="D151" s="55"/>
      <c r="E151" s="55"/>
      <c r="F151" s="56">
        <f>F149/(1+F149)</f>
        <v>0.5715527029289477</v>
      </c>
    </row>
    <row r="152" spans="1:6" ht="12">
      <c r="A152" s="57" t="s">
        <v>88</v>
      </c>
      <c r="B152" s="58"/>
      <c r="C152" s="58"/>
      <c r="D152" s="58"/>
      <c r="E152" s="58"/>
      <c r="F152" s="59">
        <f>1-F151</f>
        <v>0.42844729707105234</v>
      </c>
    </row>
  </sheetData>
  <mergeCells count="4">
    <mergeCell ref="A128:G129"/>
    <mergeCell ref="A3:F6"/>
    <mergeCell ref="A68:I69"/>
    <mergeCell ref="L71:V74"/>
  </mergeCells>
  <printOptions gridLines="1"/>
  <pageMargins left="0.75" right="0.5" top="0.6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C11"/>
  <sheetViews>
    <sheetView workbookViewId="0" topLeftCell="A14">
      <selection activeCell="O39" sqref="O39"/>
    </sheetView>
  </sheetViews>
  <sheetFormatPr defaultColWidth="9.140625" defaultRowHeight="12"/>
  <cols>
    <col min="5" max="5" width="11.28125" style="0" customWidth="1"/>
  </cols>
  <sheetData>
    <row r="1" ht="12.75">
      <c r="A1" s="1" t="s">
        <v>298</v>
      </c>
    </row>
    <row r="3" ht="11.25">
      <c r="A3" t="s">
        <v>182</v>
      </c>
    </row>
    <row r="6" spans="6:29" ht="11.25">
      <c r="F6" s="65">
        <v>2007</v>
      </c>
      <c r="G6" s="65">
        <v>2008</v>
      </c>
      <c r="H6" s="65">
        <v>2009</v>
      </c>
      <c r="I6" s="65">
        <v>2010</v>
      </c>
      <c r="J6" s="65">
        <v>2011</v>
      </c>
      <c r="K6" s="65">
        <v>2012</v>
      </c>
      <c r="L6" s="65">
        <v>2013</v>
      </c>
      <c r="M6" s="65">
        <v>2014</v>
      </c>
      <c r="N6" s="65">
        <v>2015</v>
      </c>
      <c r="O6" s="65">
        <v>2016</v>
      </c>
      <c r="P6" s="65">
        <v>2017</v>
      </c>
      <c r="Q6" s="65">
        <v>2018</v>
      </c>
      <c r="R6" s="65">
        <v>2019</v>
      </c>
      <c r="S6" s="65">
        <v>2020</v>
      </c>
      <c r="T6" s="65">
        <v>2021</v>
      </c>
      <c r="U6" s="65">
        <v>2022</v>
      </c>
      <c r="V6" s="65">
        <v>2023</v>
      </c>
      <c r="W6" s="65">
        <v>2024</v>
      </c>
      <c r="X6" s="65">
        <v>2025</v>
      </c>
      <c r="Y6" s="65">
        <v>2026</v>
      </c>
      <c r="Z6" s="65">
        <v>2027</v>
      </c>
      <c r="AA6" s="65">
        <v>2028</v>
      </c>
      <c r="AB6" s="65">
        <v>2029</v>
      </c>
      <c r="AC6" s="65">
        <v>2030</v>
      </c>
    </row>
    <row r="8" spans="1:29" ht="12">
      <c r="A8" s="9" t="s">
        <v>127</v>
      </c>
      <c r="F8" s="65">
        <f>Summary!I67</f>
        <v>5982.046802176086</v>
      </c>
      <c r="G8" s="65">
        <f>Summary!J67</f>
        <v>6125.906967534369</v>
      </c>
      <c r="H8" s="65">
        <f>Summary!K67</f>
        <v>6215.285597944321</v>
      </c>
      <c r="I8" s="65">
        <f>Summary!L67</f>
        <v>6306.059415518274</v>
      </c>
      <c r="J8" s="65">
        <f>Summary!M67</f>
        <v>6398.252281364235</v>
      </c>
      <c r="K8" s="65">
        <f>Summary!N67</f>
        <v>6491.888515486537</v>
      </c>
      <c r="L8" s="65">
        <f>Summary!O67</f>
        <v>6586.992906828484</v>
      </c>
      <c r="M8" s="65">
        <f>Summary!P67</f>
        <v>6683.590723561718</v>
      </c>
      <c r="N8" s="65">
        <f>Summary!Q67</f>
        <v>6781.707723628869</v>
      </c>
      <c r="O8" s="65">
        <f>Summary!R67</f>
        <v>6881.370165546323</v>
      </c>
      <c r="P8" s="65">
        <f>Summary!S67</f>
        <v>6982.604819474042</v>
      </c>
      <c r="Q8" s="65">
        <f>Summary!T67</f>
        <v>7085.438978559625</v>
      </c>
      <c r="R8" s="65">
        <f>Summary!U67</f>
        <v>7189.900470563957</v>
      </c>
      <c r="S8" s="65">
        <f>Summary!V67</f>
        <v>7296.017669776089</v>
      </c>
      <c r="T8" s="65">
        <f>Summary!W67</f>
        <v>7403.819509225043</v>
      </c>
      <c r="U8" s="65">
        <f>Summary!X67</f>
        <v>7513.335493196671</v>
      </c>
      <c r="V8" s="65">
        <f>Summary!Y67</f>
        <v>7624.595710063733</v>
      </c>
      <c r="W8" s="65">
        <f>Summary!Z67</f>
        <v>7737.630845437696</v>
      </c>
      <c r="X8" s="65">
        <f>Summary!AA67</f>
        <v>7852.472195650975</v>
      </c>
      <c r="Y8" s="65">
        <f>Summary!AB67</f>
        <v>7969.151681578592</v>
      </c>
      <c r="Z8" s="65">
        <f>Summary!AC67</f>
        <v>8087.701862808448</v>
      </c>
      <c r="AA8" s="65">
        <f>Summary!AD67</f>
        <v>8208.155952169713</v>
      </c>
      <c r="AB8" s="65">
        <f>Summary!AE67</f>
        <v>8330.547830629072</v>
      </c>
      <c r="AC8" s="65">
        <f>Summary!AF67</f>
        <v>8454.912062564885</v>
      </c>
    </row>
    <row r="9" spans="1:29" ht="12">
      <c r="A9" s="9" t="s">
        <v>214</v>
      </c>
      <c r="F9" s="65">
        <f>F8</f>
        <v>5982.046802176086</v>
      </c>
      <c r="G9" s="65">
        <f>Summary!J73</f>
        <v>5991.8655593380145</v>
      </c>
      <c r="H9" s="65">
        <f>Summary!K73</f>
        <v>5926.9583228233205</v>
      </c>
      <c r="I9" s="65">
        <f>Summary!L73</f>
        <v>5845.689887346688</v>
      </c>
      <c r="J9" s="65">
        <f>Summary!M73</f>
        <v>5750.347357538355</v>
      </c>
      <c r="K9" s="65">
        <f>Summary!N73</f>
        <v>5643.009320080446</v>
      </c>
      <c r="L9" s="65">
        <f>Summary!O73</f>
        <v>5525.560322215142</v>
      </c>
      <c r="M9" s="65">
        <f>Summary!P73</f>
        <v>5399.704481502225</v>
      </c>
      <c r="N9" s="65">
        <f>Summary!Q73</f>
        <v>5266.978459078997</v>
      </c>
      <c r="O9" s="65">
        <f>Summary!R73</f>
        <v>5128.763883001832</v>
      </c>
      <c r="P9" s="65">
        <f>Summary!S73</f>
        <v>4986.29923713252</v>
      </c>
      <c r="Q9" s="65">
        <f>Summary!T73</f>
        <v>4858.428187206482</v>
      </c>
      <c r="R9" s="65">
        <f>Summary!U73</f>
        <v>4742.952997657143</v>
      </c>
      <c r="S9" s="65">
        <f>Summary!V73</f>
        <v>4638.121197069198</v>
      </c>
      <c r="T9" s="65">
        <f>Summary!W73</f>
        <v>4548.628845124218</v>
      </c>
      <c r="U9" s="65">
        <f>Summary!X73</f>
        <v>4472.650510062861</v>
      </c>
      <c r="V9" s="65">
        <f>Summary!Y73</f>
        <v>4408.689048959644</v>
      </c>
      <c r="W9" s="65">
        <f>Summary!Z73</f>
        <v>4355.507797157014</v>
      </c>
      <c r="X9" s="65">
        <f>Summary!AA73</f>
        <v>4312.079472796642</v>
      </c>
      <c r="Y9" s="65">
        <f>Summary!AB73</f>
        <v>4277.54714486464</v>
      </c>
      <c r="Z9" s="65">
        <f>Summary!AC73</f>
        <v>4251.194059249884</v>
      </c>
      <c r="AA9" s="65">
        <f>Summary!AD73</f>
        <v>4232.420070948578</v>
      </c>
      <c r="AB9" s="65">
        <f>Summary!AE73</f>
        <v>4220.723073276509</v>
      </c>
      <c r="AC9" s="65">
        <f>Summary!AF73</f>
        <v>4215.684256645158</v>
      </c>
    </row>
    <row r="11" ht="12">
      <c r="A11" s="9" t="s">
        <v>263</v>
      </c>
    </row>
  </sheetData>
  <printOptions/>
  <pageMargins left="1" right="1"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C13"/>
  <sheetViews>
    <sheetView workbookViewId="0" topLeftCell="A14">
      <selection activeCell="P33" sqref="P33"/>
    </sheetView>
  </sheetViews>
  <sheetFormatPr defaultColWidth="9.140625" defaultRowHeight="12"/>
  <cols>
    <col min="5" max="5" width="11.28125" style="0" customWidth="1"/>
    <col min="6" max="6" width="10.140625" style="0" bestFit="1" customWidth="1"/>
  </cols>
  <sheetData>
    <row r="1" ht="12.75">
      <c r="A1" s="1" t="s">
        <v>297</v>
      </c>
    </row>
    <row r="3" ht="11.25">
      <c r="A3" t="s">
        <v>296</v>
      </c>
    </row>
    <row r="6" spans="6:28" ht="11.25">
      <c r="F6" s="65">
        <v>2007</v>
      </c>
      <c r="G6" s="65"/>
      <c r="H6" s="65">
        <v>2009</v>
      </c>
      <c r="I6" s="65"/>
      <c r="J6" s="65">
        <v>2011</v>
      </c>
      <c r="K6" s="65"/>
      <c r="L6" s="65">
        <v>2013</v>
      </c>
      <c r="M6" s="65"/>
      <c r="N6" s="65">
        <v>2015</v>
      </c>
      <c r="O6" s="65"/>
      <c r="P6" s="65">
        <v>2017</v>
      </c>
      <c r="Q6" s="65"/>
      <c r="R6" s="65">
        <v>2019</v>
      </c>
      <c r="S6" s="65"/>
      <c r="T6" s="65">
        <v>2021</v>
      </c>
      <c r="U6" s="65"/>
      <c r="V6" s="65">
        <v>2023</v>
      </c>
      <c r="W6" s="65"/>
      <c r="X6" s="65">
        <v>2025</v>
      </c>
      <c r="Y6" s="65"/>
      <c r="Z6" s="65">
        <v>2027</v>
      </c>
      <c r="AB6">
        <v>2029</v>
      </c>
    </row>
    <row r="8" spans="1:29" ht="12">
      <c r="A8" s="9" t="s">
        <v>286</v>
      </c>
      <c r="F8" s="25">
        <v>20745.477</v>
      </c>
      <c r="G8" s="25">
        <f aca="true" t="shared" si="0" ref="G8:AB8">F8*(1+$G$13)</f>
        <v>21056.659154999998</v>
      </c>
      <c r="H8" s="25">
        <f t="shared" si="0"/>
        <v>21372.509042324997</v>
      </c>
      <c r="I8" s="25">
        <f t="shared" si="0"/>
        <v>21693.09667795987</v>
      </c>
      <c r="J8" s="25">
        <f t="shared" si="0"/>
        <v>22018.493128129267</v>
      </c>
      <c r="K8" s="25">
        <f t="shared" si="0"/>
        <v>22348.770525051204</v>
      </c>
      <c r="L8" s="25">
        <f t="shared" si="0"/>
        <v>22684.00208292697</v>
      </c>
      <c r="M8" s="25">
        <f t="shared" si="0"/>
        <v>23024.262114170873</v>
      </c>
      <c r="N8" s="25">
        <f t="shared" si="0"/>
        <v>23369.626045883433</v>
      </c>
      <c r="O8" s="25">
        <f t="shared" si="0"/>
        <v>23720.170436571683</v>
      </c>
      <c r="P8" s="25">
        <f t="shared" si="0"/>
        <v>24075.972993120256</v>
      </c>
      <c r="Q8" s="25">
        <f t="shared" si="0"/>
        <v>24437.11258801706</v>
      </c>
      <c r="R8" s="25">
        <f t="shared" si="0"/>
        <v>24803.66927683731</v>
      </c>
      <c r="S8" s="25">
        <f t="shared" si="0"/>
        <v>25175.724315989868</v>
      </c>
      <c r="T8" s="25">
        <f t="shared" si="0"/>
        <v>25553.360180729713</v>
      </c>
      <c r="U8" s="25">
        <f t="shared" si="0"/>
        <v>25936.660583440655</v>
      </c>
      <c r="V8" s="25">
        <f t="shared" si="0"/>
        <v>26325.710492192262</v>
      </c>
      <c r="W8" s="25">
        <f t="shared" si="0"/>
        <v>26720.596149575143</v>
      </c>
      <c r="X8" s="25">
        <f t="shared" si="0"/>
        <v>27121.405091818768</v>
      </c>
      <c r="Y8" s="25">
        <f t="shared" si="0"/>
        <v>27528.226168196048</v>
      </c>
      <c r="Z8" s="25">
        <f t="shared" si="0"/>
        <v>27941.149560718986</v>
      </c>
      <c r="AA8" s="25">
        <f t="shared" si="0"/>
        <v>28360.26680412977</v>
      </c>
      <c r="AB8" s="25">
        <f t="shared" si="0"/>
        <v>28785.670806191712</v>
      </c>
      <c r="AC8" s="25">
        <f>AB8*(1+$G$13)</f>
        <v>29217.455868284585</v>
      </c>
    </row>
    <row r="9" spans="1:29" ht="12">
      <c r="A9" s="9" t="s">
        <v>263</v>
      </c>
      <c r="G9" s="25">
        <f>Summary!J116</f>
        <v>277.152863382793</v>
      </c>
      <c r="H9" s="25">
        <f>Summary!K116</f>
        <v>615.1510432832306</v>
      </c>
      <c r="I9" s="25">
        <f>Summary!L116</f>
        <v>1009.6881015497243</v>
      </c>
      <c r="J9" s="25">
        <f>Summary!M116</f>
        <v>1456.5936450151785</v>
      </c>
      <c r="K9" s="25">
        <f>Summary!N116</f>
        <v>1951.8364017190456</v>
      </c>
      <c r="L9" s="25">
        <f>Summary!O116</f>
        <v>2491.529186343234</v>
      </c>
      <c r="M9" s="25">
        <f>Summary!P116</f>
        <v>3071.9345483928246</v>
      </c>
      <c r="N9" s="25">
        <f>Summary!Q116</f>
        <v>3689.470344440044</v>
      </c>
      <c r="O9" s="25">
        <f>Summary!R116</f>
        <v>4340.71476501256</v>
      </c>
      <c r="P9" s="25">
        <f>Summary!S116</f>
        <v>5022.410537003164</v>
      </c>
      <c r="Q9" s="25">
        <f>Summary!T116</f>
        <v>5676.042979580487</v>
      </c>
      <c r="R9" s="25">
        <f>Summary!U116</f>
        <v>6306.03574034793</v>
      </c>
      <c r="S9" s="25">
        <f>Summary!V116</f>
        <v>6916.044975892598</v>
      </c>
      <c r="T9" s="25">
        <f>Summary!W116</f>
        <v>7484.897519581757</v>
      </c>
      <c r="U9" s="25">
        <f>Summary!X116</f>
        <v>8017.038747279321</v>
      </c>
      <c r="V9" s="25">
        <f>Summary!Y116</f>
        <v>8516.168567630759</v>
      </c>
      <c r="W9" s="25">
        <f>Summary!Z116</f>
        <v>8985.375866010694</v>
      </c>
      <c r="X9" s="25">
        <f>Summary!AA116</f>
        <v>9427.242797324265</v>
      </c>
      <c r="Y9" s="25">
        <f>Summary!AB116</f>
        <v>9843.92647529584</v>
      </c>
      <c r="Z9" s="25">
        <f>Summary!AC116</f>
        <v>10237.223468963108</v>
      </c>
      <c r="AA9" s="25">
        <f>Summary!AD116</f>
        <v>10608.621044565927</v>
      </c>
      <c r="AB9" s="25">
        <f>Summary!AE116</f>
        <v>10959.33805785923</v>
      </c>
      <c r="AC9" s="25">
        <f>Summary!AF116</f>
        <v>11290.357665054033</v>
      </c>
    </row>
    <row r="10" spans="1:29" ht="12">
      <c r="A10" s="9" t="s">
        <v>287</v>
      </c>
      <c r="F10" s="52">
        <f aca="true" t="shared" si="1" ref="F10:AC10">F8-F9</f>
        <v>20745.477</v>
      </c>
      <c r="G10" s="52">
        <f t="shared" si="1"/>
        <v>20779.506291617203</v>
      </c>
      <c r="H10" s="52">
        <f t="shared" si="1"/>
        <v>20757.357999041767</v>
      </c>
      <c r="I10" s="52">
        <f t="shared" si="1"/>
        <v>20683.408576410147</v>
      </c>
      <c r="J10" s="52">
        <f t="shared" si="1"/>
        <v>20561.899483114088</v>
      </c>
      <c r="K10" s="52">
        <f t="shared" si="1"/>
        <v>20396.934123332157</v>
      </c>
      <c r="L10" s="52">
        <f t="shared" si="1"/>
        <v>20192.472896583735</v>
      </c>
      <c r="M10" s="52">
        <f t="shared" si="1"/>
        <v>19952.327565778047</v>
      </c>
      <c r="N10" s="52">
        <f t="shared" si="1"/>
        <v>19680.15570144339</v>
      </c>
      <c r="O10" s="52">
        <f t="shared" si="1"/>
        <v>19379.455671559124</v>
      </c>
      <c r="P10" s="52">
        <f t="shared" si="1"/>
        <v>19053.56245611709</v>
      </c>
      <c r="Q10" s="52">
        <f t="shared" si="1"/>
        <v>18761.06960843657</v>
      </c>
      <c r="R10" s="52">
        <f t="shared" si="1"/>
        <v>18497.633536489382</v>
      </c>
      <c r="S10" s="52">
        <f t="shared" si="1"/>
        <v>18259.67934009727</v>
      </c>
      <c r="T10" s="52">
        <f t="shared" si="1"/>
        <v>18068.462661147954</v>
      </c>
      <c r="U10" s="52">
        <f t="shared" si="1"/>
        <v>17919.621836161336</v>
      </c>
      <c r="V10" s="52">
        <f t="shared" si="1"/>
        <v>17809.541924561505</v>
      </c>
      <c r="W10" s="52">
        <f t="shared" si="1"/>
        <v>17735.22028356445</v>
      </c>
      <c r="X10" s="52">
        <f t="shared" si="1"/>
        <v>17694.162294494505</v>
      </c>
      <c r="Y10" s="52">
        <f t="shared" si="1"/>
        <v>17684.299692900207</v>
      </c>
      <c r="Z10" s="52">
        <f t="shared" si="1"/>
        <v>17703.92609175588</v>
      </c>
      <c r="AA10" s="52">
        <f t="shared" si="1"/>
        <v>17751.645759563842</v>
      </c>
      <c r="AB10" s="52">
        <f t="shared" si="1"/>
        <v>17826.332748332483</v>
      </c>
      <c r="AC10" s="52">
        <f t="shared" si="1"/>
        <v>17927.098203230555</v>
      </c>
    </row>
    <row r="12" ht="11.25">
      <c r="A12" s="34" t="s">
        <v>283</v>
      </c>
    </row>
    <row r="13" spans="1:8" ht="12">
      <c r="A13" s="34" t="s">
        <v>284</v>
      </c>
      <c r="G13" s="149">
        <v>0.015</v>
      </c>
      <c r="H13" s="34" t="s">
        <v>285</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J29"/>
  <sheetViews>
    <sheetView workbookViewId="0" topLeftCell="A1">
      <selection activeCell="G20" sqref="G20"/>
    </sheetView>
  </sheetViews>
  <sheetFormatPr defaultColWidth="9.140625" defaultRowHeight="12"/>
  <sheetData>
    <row r="1" ht="12.75">
      <c r="A1" s="1" t="s">
        <v>181</v>
      </c>
    </row>
    <row r="3" ht="12">
      <c r="A3" t="s">
        <v>5</v>
      </c>
    </row>
    <row r="5" ht="11.25">
      <c r="A5" t="s">
        <v>8</v>
      </c>
    </row>
    <row r="7" ht="11.25">
      <c r="J7" s="11"/>
    </row>
    <row r="8" spans="1:8" ht="12">
      <c r="A8" s="9" t="s">
        <v>25</v>
      </c>
      <c r="G8" s="10">
        <v>2375</v>
      </c>
      <c r="H8" s="12">
        <f>G8/G$20</f>
        <v>0.39526678427587125</v>
      </c>
    </row>
    <row r="9" spans="1:8" ht="11.25">
      <c r="A9" t="s">
        <v>26</v>
      </c>
      <c r="G9" s="166" t="s">
        <v>180</v>
      </c>
      <c r="H9" s="166"/>
    </row>
    <row r="10" spans="1:8" ht="11.25">
      <c r="A10" t="s">
        <v>27</v>
      </c>
      <c r="G10" s="166" t="s">
        <v>180</v>
      </c>
      <c r="H10" s="166"/>
    </row>
    <row r="11" spans="1:8" ht="11.25">
      <c r="A11" t="s">
        <v>28</v>
      </c>
      <c r="G11" s="166" t="s">
        <v>180</v>
      </c>
      <c r="H11" s="166"/>
    </row>
    <row r="12" spans="1:8" ht="11.25">
      <c r="A12" t="s">
        <v>29</v>
      </c>
      <c r="G12" s="166" t="s">
        <v>180</v>
      </c>
      <c r="H12" s="166"/>
    </row>
    <row r="14" spans="1:8" ht="12">
      <c r="A14" s="9" t="s">
        <v>156</v>
      </c>
      <c r="G14" s="10">
        <v>1374.5</v>
      </c>
      <c r="H14" s="137">
        <f>G14/G$20</f>
        <v>0.22875545052092</v>
      </c>
    </row>
    <row r="15" spans="1:8" ht="12">
      <c r="A15" s="9"/>
      <c r="G15" s="10"/>
      <c r="H15" s="12"/>
    </row>
    <row r="16" spans="1:8" ht="12">
      <c r="A16" s="9" t="s">
        <v>209</v>
      </c>
      <c r="G16" s="10">
        <v>235.8</v>
      </c>
      <c r="H16" s="12">
        <f>G16/G$20</f>
        <v>0.03924375062410545</v>
      </c>
    </row>
    <row r="17" spans="1:8" ht="12">
      <c r="A17" s="9"/>
      <c r="G17" s="10"/>
      <c r="H17" s="12"/>
    </row>
    <row r="18" spans="1:8" ht="12">
      <c r="A18" s="9" t="s">
        <v>157</v>
      </c>
      <c r="G18" s="10">
        <v>2023.3</v>
      </c>
      <c r="H18" s="12">
        <f>G18/G$20</f>
        <v>0.33673401457910324</v>
      </c>
    </row>
    <row r="20" spans="1:7" ht="12">
      <c r="A20" s="9" t="s">
        <v>30</v>
      </c>
      <c r="G20" s="10">
        <f>G8+G14+G16+G18</f>
        <v>6008.6</v>
      </c>
    </row>
    <row r="23" ht="12">
      <c r="A23" s="9" t="s">
        <v>226</v>
      </c>
    </row>
    <row r="25" spans="1:10" ht="12">
      <c r="A25" s="3" t="s">
        <v>227</v>
      </c>
      <c r="G25">
        <v>6.189</v>
      </c>
      <c r="I25" s="139"/>
      <c r="J25" s="9"/>
    </row>
    <row r="26" spans="1:7" ht="12">
      <c r="A26" s="3" t="s">
        <v>228</v>
      </c>
      <c r="G26" s="35"/>
    </row>
    <row r="28" spans="1:7" ht="11.25">
      <c r="A28" s="3" t="s">
        <v>229</v>
      </c>
      <c r="G28">
        <v>5.354</v>
      </c>
    </row>
    <row r="29" ht="11.25">
      <c r="A29" s="3" t="s">
        <v>230</v>
      </c>
    </row>
  </sheetData>
  <mergeCells count="4">
    <mergeCell ref="G9:H9"/>
    <mergeCell ref="G10:H10"/>
    <mergeCell ref="G11:H11"/>
    <mergeCell ref="G12:H12"/>
  </mergeCells>
  <hyperlinks>
    <hyperlink ref="A26" r:id="rId1" display="http://www.eia.doe.gov/emeu/mer/append_a.html, Table A3."/>
  </hyperlinks>
  <printOptions gridLines="1"/>
  <pageMargins left="1.25" right="1" top="1.25" bottom="1" header="0.5" footer="0.5"/>
  <pageSetup horizontalDpi="600" verticalDpi="600" orientation="portrait" r:id="rId2"/>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A26" sqref="A26"/>
    </sheetView>
  </sheetViews>
  <sheetFormatPr defaultColWidth="9.140625" defaultRowHeight="12"/>
  <sheetData>
    <row r="1" ht="12.75">
      <c r="A1" s="1" t="s">
        <v>262</v>
      </c>
    </row>
    <row r="3" spans="1:9" ht="11.25">
      <c r="A3" s="155" t="s">
        <v>0</v>
      </c>
      <c r="B3" s="155"/>
      <c r="C3" s="155"/>
      <c r="D3" s="155"/>
      <c r="E3" s="155"/>
      <c r="F3" s="155"/>
      <c r="G3" s="155"/>
      <c r="H3" s="155"/>
      <c r="I3" s="155"/>
    </row>
    <row r="4" spans="1:9" ht="11.25">
      <c r="A4" s="155"/>
      <c r="B4" s="155"/>
      <c r="C4" s="155"/>
      <c r="D4" s="155"/>
      <c r="E4" s="155"/>
      <c r="F4" s="155"/>
      <c r="G4" s="155"/>
      <c r="H4" s="155"/>
      <c r="I4" s="155"/>
    </row>
    <row r="5" spans="1:9" ht="11.25">
      <c r="A5" s="155"/>
      <c r="B5" s="155"/>
      <c r="C5" s="155"/>
      <c r="D5" s="155"/>
      <c r="E5" s="155"/>
      <c r="F5" s="155"/>
      <c r="G5" s="155"/>
      <c r="H5" s="155"/>
      <c r="I5" s="155"/>
    </row>
    <row r="7" spans="1:9" ht="7.5" customHeight="1">
      <c r="A7" s="155" t="s">
        <v>1</v>
      </c>
      <c r="B7" s="155"/>
      <c r="C7" s="155"/>
      <c r="D7" s="155"/>
      <c r="E7" s="155"/>
      <c r="F7" s="155"/>
      <c r="G7" s="155"/>
      <c r="H7" s="155"/>
      <c r="I7" s="155"/>
    </row>
    <row r="8" spans="1:9" ht="7.5" customHeight="1">
      <c r="A8" s="155"/>
      <c r="B8" s="155"/>
      <c r="C8" s="155"/>
      <c r="D8" s="155"/>
      <c r="E8" s="155"/>
      <c r="F8" s="155"/>
      <c r="G8" s="155"/>
      <c r="H8" s="155"/>
      <c r="I8" s="155"/>
    </row>
    <row r="9" spans="1:9" ht="7.5" customHeight="1">
      <c r="A9" s="155"/>
      <c r="B9" s="155"/>
      <c r="C9" s="155"/>
      <c r="D9" s="155"/>
      <c r="E9" s="155"/>
      <c r="F9" s="155"/>
      <c r="G9" s="155"/>
      <c r="H9" s="155"/>
      <c r="I9" s="155"/>
    </row>
    <row r="12" ht="12">
      <c r="A12" s="9" t="s">
        <v>196</v>
      </c>
    </row>
    <row r="13" spans="1:8" ht="11.25">
      <c r="A13" s="45" t="s">
        <v>188</v>
      </c>
      <c r="E13" s="34" t="s">
        <v>189</v>
      </c>
      <c r="H13" s="132">
        <v>7.855</v>
      </c>
    </row>
    <row r="14" spans="1:8" ht="11.25">
      <c r="A14" s="45" t="s">
        <v>195</v>
      </c>
      <c r="E14" s="34" t="s">
        <v>189</v>
      </c>
      <c r="H14" s="132">
        <f>0.162*5/4</f>
        <v>0.2025</v>
      </c>
    </row>
    <row r="15" spans="1:8" ht="11.25">
      <c r="A15" s="45" t="s">
        <v>190</v>
      </c>
      <c r="E15" s="34" t="s">
        <v>191</v>
      </c>
      <c r="H15" s="132">
        <v>2.46</v>
      </c>
    </row>
    <row r="16" spans="1:8" ht="11.25">
      <c r="A16" s="45" t="s">
        <v>192</v>
      </c>
      <c r="E16" s="34" t="s">
        <v>193</v>
      </c>
      <c r="H16" s="132">
        <v>1.287</v>
      </c>
    </row>
    <row r="17" spans="1:8" ht="11.25">
      <c r="A17" s="45" t="s">
        <v>194</v>
      </c>
      <c r="E17" s="34" t="s">
        <v>193</v>
      </c>
      <c r="H17" s="132">
        <v>0.212</v>
      </c>
    </row>
    <row r="19" ht="11.25">
      <c r="A19" s="3" t="s">
        <v>210</v>
      </c>
    </row>
    <row r="21" ht="11.25">
      <c r="A21" s="3" t="s">
        <v>197</v>
      </c>
    </row>
    <row r="22" spans="1:9" ht="13.5" customHeight="1">
      <c r="A22" s="160" t="s">
        <v>198</v>
      </c>
      <c r="B22" s="155"/>
      <c r="C22" s="155"/>
      <c r="D22" s="155"/>
      <c r="E22" s="155"/>
      <c r="F22" s="155"/>
      <c r="G22" s="155"/>
      <c r="H22" s="155"/>
      <c r="I22" s="155"/>
    </row>
    <row r="23" spans="1:9" ht="13.5" customHeight="1">
      <c r="A23" s="155"/>
      <c r="B23" s="155"/>
      <c r="C23" s="155"/>
      <c r="D23" s="155"/>
      <c r="E23" s="155"/>
      <c r="F23" s="155"/>
      <c r="G23" s="155"/>
      <c r="H23" s="155"/>
      <c r="I23" s="155"/>
    </row>
    <row r="24" spans="1:9" ht="13.5" customHeight="1">
      <c r="A24" s="155"/>
      <c r="B24" s="155"/>
      <c r="C24" s="155"/>
      <c r="D24" s="155"/>
      <c r="E24" s="155"/>
      <c r="F24" s="155"/>
      <c r="G24" s="155"/>
      <c r="H24" s="155"/>
      <c r="I24" s="155"/>
    </row>
    <row r="25" ht="11.25">
      <c r="A25" s="3" t="s">
        <v>199</v>
      </c>
    </row>
    <row r="27" ht="12">
      <c r="A27" s="9" t="s">
        <v>200</v>
      </c>
    </row>
    <row r="28" spans="1:8" ht="11.25">
      <c r="A28" t="s">
        <v>32</v>
      </c>
      <c r="H28" s="8">
        <f>H13+H14</f>
        <v>8.057500000000001</v>
      </c>
    </row>
    <row r="29" spans="1:8" ht="11.25">
      <c r="A29" t="s">
        <v>201</v>
      </c>
      <c r="H29" s="8">
        <f>H15+H16+H17</f>
        <v>3.959</v>
      </c>
    </row>
    <row r="30" spans="1:8" s="9" customFormat="1" ht="12">
      <c r="A30" s="9" t="s">
        <v>202</v>
      </c>
      <c r="H30" s="12">
        <f>H29/$H$28</f>
        <v>0.4913434688178715</v>
      </c>
    </row>
    <row r="31" spans="1:8" s="9" customFormat="1" ht="12">
      <c r="A31" t="s">
        <v>211</v>
      </c>
      <c r="H31" s="8">
        <f>H16+H17</f>
        <v>1.4989999999999999</v>
      </c>
    </row>
    <row r="32" spans="1:8" s="9" customFormat="1" ht="12">
      <c r="A32" s="9" t="s">
        <v>212</v>
      </c>
      <c r="H32" s="12">
        <f>H31/$H$28</f>
        <v>0.18603785293205086</v>
      </c>
    </row>
  </sheetData>
  <mergeCells count="3">
    <mergeCell ref="A3:I5"/>
    <mergeCell ref="A7:I9"/>
    <mergeCell ref="A22:I2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Komanoff</dc:creator>
  <cp:keywords/>
  <dc:description/>
  <cp:lastModifiedBy>Charles Komanoff</cp:lastModifiedBy>
  <cp:lastPrinted>2007-08-03T18:04:24Z</cp:lastPrinted>
  <dcterms:created xsi:type="dcterms:W3CDTF">2007-03-27T19:18:08Z</dcterms:created>
  <dcterms:modified xsi:type="dcterms:W3CDTF">2008-02-15T17:21:22Z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